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workbookProtection workbookAlgorithmName="SHA-512" workbookHashValue="48j1fsrKZpSY9NSQaTjql8hTG1QPFmGZClQGVSkNivSv0IqWLQNFaShmku1UhbYGqWguEBKdpIvtFR5+VVUrZA==" workbookSaltValue="MXciikdpQ216V9zsMudlIw==" workbookSpinCount="100000" lockStructure="1"/>
  <bookViews>
    <workbookView xWindow="-120" yWindow="-120" windowWidth="28992" windowHeight="15720" tabRatio="587"/>
  </bookViews>
  <sheets>
    <sheet name="Industrial Truck DSC" sheetId="1" r:id="rId1"/>
    <sheet name="Confidentiality" sheetId="12" r:id="rId2"/>
    <sheet name="Deleted in 2022" sheetId="2" state="hidden" r:id="rId3"/>
    <sheet name="Print" sheetId="13" state="hidden" r:id="rId4"/>
    <sheet name="Data" sheetId="18" state="hidden" r:id="rId5"/>
  </sheets>
  <definedNames>
    <definedName name="AAP">'Industrial Truck DSC'!$T$124</definedName>
    <definedName name="AAR">'Industrial Truck DSC'!$T$123</definedName>
    <definedName name="AD">'Industrial Truck DSC'!$T$78</definedName>
    <definedName name="Add">'Industrial Truck DSC'!$R$129</definedName>
    <definedName name="Addr1">'Industrial Truck DSC'!$P$26</definedName>
    <definedName name="Addr2">'Industrial Truck DSC'!$P$27</definedName>
    <definedName name="AgeNew">'Industrial Truck DSC'!$T$127</definedName>
    <definedName name="AgeParts">'Industrial Truck DSC'!$T$129</definedName>
    <definedName name="AgeSH">'Industrial Truck DSC'!$T$130</definedName>
    <definedName name="AgeUsed">'Industrial Truck DSC'!$T$128</definedName>
    <definedName name="AP">'Industrial Truck DSC'!$T$149</definedName>
    <definedName name="AR">'Industrial Truck DSC'!$T$135</definedName>
    <definedName name="AVG">'Industrial Truck DSC'!$T$126</definedName>
    <definedName name="AVG_2">Data!$B$202</definedName>
    <definedName name="BENE">'Industrial Truck DSC'!$T$65</definedName>
    <definedName name="BENE_Pct">Data!$B$180</definedName>
    <definedName name="Burden_Pct">Data!$B$181</definedName>
    <definedName name="CA">'Industrial Truck DSC'!$T$143</definedName>
    <definedName name="CA_2">Data!$B$204</definedName>
    <definedName name="Cash">'Industrial Truck DSC'!$T$134</definedName>
    <definedName name="City">'Industrial Truck DSC'!$P$28</definedName>
    <definedName name="CL">'Industrial Truck DSC'!$T$152</definedName>
    <definedName name="COGS">'Industrial Truck DSC'!$T$58</definedName>
    <definedName name="COGS_2">Data!$B$207</definedName>
    <definedName name="COGS_Counter">'Industrial Truck DSC'!$T$98</definedName>
    <definedName name="COGS_ES">'Industrial Truck DSC'!$T$97</definedName>
    <definedName name="COGS_Install">#REF!</definedName>
    <definedName name="COGS_New">'Industrial Truck DSC'!$T$94</definedName>
    <definedName name="COGS_OTH">'Industrial Truck DSC'!$T$101</definedName>
    <definedName name="COGS_Rent">'Industrial Truck DSC'!$T$100</definedName>
    <definedName name="COGS_SH">'Industrial Truck DSC'!$T$96</definedName>
    <definedName name="COGS_SVC">'Industrial Truck DSC'!$T$99</definedName>
    <definedName name="COGS_Used">'Industrial Truck DSC'!$T$95</definedName>
    <definedName name="CSH">Data!$B$212</definedName>
    <definedName name="CUST">'Industrial Truck DSC'!$R$165</definedName>
    <definedName name="Custdp">'Industrial Truck DSC'!$U$150</definedName>
    <definedName name="DPR">'Industrial Truck DSC'!$T$90</definedName>
    <definedName name="DROP">Data!$B$213</definedName>
    <definedName name="eaddr">'Industrial Truck DSC'!$P$32</definedName>
    <definedName name="Emp">'Industrial Truck DSC'!$R$115</definedName>
    <definedName name="EMP_Exec">'Industrial Truck DSC'!$R$106</definedName>
    <definedName name="EMP_Inside">'Industrial Truck DSC'!$R$108</definedName>
    <definedName name="EMP_Out">'Industrial Truck DSC'!$R$107</definedName>
    <definedName name="EMP_Parts">'Industrial Truck DSC'!$R$110</definedName>
    <definedName name="EMP_PM">'Industrial Truck DSC'!$U$107</definedName>
    <definedName name="EMP_Rental">'Industrial Truck DSC'!$R$109</definedName>
    <definedName name="EMP_SVC">'Industrial Truck DSC'!$R$112</definedName>
    <definedName name="EMP_Tech">'Industrial Truck DSC'!$T$35</definedName>
    <definedName name="EMP_WHS">'Industrial Truck DSC'!$R$113</definedName>
    <definedName name="End">'Industrial Truck DSC'!$R$130</definedName>
    <definedName name="EngSys">Data!$B$148</definedName>
    <definedName name="Eqty">'Industrial Truck DSC'!$T$155</definedName>
    <definedName name="Equip">Data!$B$97</definedName>
    <definedName name="Fixed">'Industrial Truck DSC'!$T$144</definedName>
    <definedName name="GP">'Industrial Truck DSC'!$T$59</definedName>
    <definedName name="GP_2">Data!$B$208</definedName>
    <definedName name="GP_Counter">Data!$B$173</definedName>
    <definedName name="GP_ES">Data!$B$172</definedName>
    <definedName name="GP_Install">Data!$B$176</definedName>
    <definedName name="GP_Internal">Data!$B$394</definedName>
    <definedName name="GP_New">Data!$B$169</definedName>
    <definedName name="GP_OTH">Data!$B$177</definedName>
    <definedName name="GP_Rent">Data!$B$175</definedName>
    <definedName name="GP_SH">Data!$B$171</definedName>
    <definedName name="GP_SVC">Data!$B$174</definedName>
    <definedName name="GP_Used">Data!$B$170</definedName>
    <definedName name="GRP_INS">'Industrial Truck DSC'!$T$64</definedName>
    <definedName name="Grp_Pct">Data!$B$179</definedName>
    <definedName name="ID">'Industrial Truck DSC'!$T$22</definedName>
    <definedName name="Ins">'Industrial Truck DSC'!$T$74</definedName>
    <definedName name="Int">'Industrial Truck DSC'!$T$84</definedName>
    <definedName name="IntParts">'Industrial Truck DSC'!$R$168</definedName>
    <definedName name="IntSvc">'Industrial Truck DSC'!$R$169</definedName>
    <definedName name="Inv">'Industrial Truck DSC'!$T$141</definedName>
    <definedName name="INV_2">Data!$B$203</definedName>
    <definedName name="Liab">'Industrial Truck DSC'!$T$156</definedName>
    <definedName name="LIFO">'Industrial Truck DSC'!$R$128</definedName>
    <definedName name="Loan">'Industrial Truck DSC'!$T$154</definedName>
    <definedName name="LTL">'Industrial Truck DSC'!$T$153</definedName>
    <definedName name="LTrucks">Data!$B$147</definedName>
    <definedName name="MIS">'Industrial Truck DSC'!$T$77</definedName>
    <definedName name="Name">'Industrial Truck DSC'!$P$25</definedName>
    <definedName name="Net">'Industrial Truck DSC'!$T$88</definedName>
    <definedName name="NEWINV">'Industrial Truck DSC'!$T$137</definedName>
    <definedName name="NP">'Industrial Truck DSC'!$T$150</definedName>
    <definedName name="NS">'Industrial Truck DSC'!$T$57</definedName>
    <definedName name="NS_Counter">'Industrial Truck DSC'!$R$98</definedName>
    <definedName name="NS_EQ">Data!$B$437</definedName>
    <definedName name="NS_ES">'Industrial Truck DSC'!$R$97</definedName>
    <definedName name="NS_New">'Industrial Truck DSC'!$R$94</definedName>
    <definedName name="NS_OTH">'Industrial Truck DSC'!$R$101</definedName>
    <definedName name="NS_RENT">'Industrial Truck DSC'!$R$100</definedName>
    <definedName name="NS_SH">'Industrial Truck DSC'!$R$96</definedName>
    <definedName name="NS_SVC">'Industrial Truck DSC'!$R$99</definedName>
    <definedName name="NS_Used">'Industrial Truck DSC'!$R$95</definedName>
    <definedName name="NW">Data!$B$93</definedName>
    <definedName name="NW_2">Data!$B$206</definedName>
    <definedName name="OC">'Industrial Truck DSC'!$T$71</definedName>
    <definedName name="OC_GA">Data!$B$191</definedName>
    <definedName name="OC_Parts">Data!$B$188</definedName>
    <definedName name="OC_Rental">Data!$B$190</definedName>
    <definedName name="OC_Sales">Data!$B$187</definedName>
    <definedName name="OC_SVC">Data!$B$189</definedName>
    <definedName name="Oca">'Industrial Truck DSC'!$T$142</definedName>
    <definedName name="Ocl">'Industrial Truck DSC'!$T$151</definedName>
    <definedName name="OCOGS">Data!$B$100</definedName>
    <definedName name="OE">'Industrial Truck DSC'!$T$79</definedName>
    <definedName name="OE_GA">Data!$B$196</definedName>
    <definedName name="OE_Parts">Data!$B$193</definedName>
    <definedName name="OE_Rental">Data!$B$195</definedName>
    <definedName name="OE_Sales">Data!$B$192</definedName>
    <definedName name="OE_SVC">Data!$B$194</definedName>
    <definedName name="Oemp">'Industrial Truck DSC'!$R$114</definedName>
    <definedName name="Oex">'Industrial Truck DSC'!$T$85</definedName>
    <definedName name="OFA">'Industrial Truck DSC'!$T$145</definedName>
    <definedName name="OI">'Industrial Truck DSC'!$T$83</definedName>
    <definedName name="OINV">'Industrial Truck DSC'!$T$140</definedName>
    <definedName name="OP">'Industrial Truck DSC'!$T$82</definedName>
    <definedName name="OP_2">Data!$B$209</definedName>
    <definedName name="OPROD">Data!$B$150</definedName>
    <definedName name="Org">'Industrial Truck DSC'!$R$163</definedName>
    <definedName name="OSAL">'Industrial Truck DSC'!$R$62</definedName>
    <definedName name="PA">'Industrial Truck DSC'!$T$66</definedName>
    <definedName name="PA_Adjust">Data!$B$110</definedName>
    <definedName name="PA_Exec">'Industrial Truck DSC'!$T$106</definedName>
    <definedName name="PA_GA">Data!$B$186</definedName>
    <definedName name="PA_Inside">'Industrial Truck DSC'!$T$108</definedName>
    <definedName name="PA_OTH">'Industrial Truck DSC'!$T$114</definedName>
    <definedName name="PA_Out">'Industrial Truck DSC'!$T$107</definedName>
    <definedName name="PA_Parts">'Industrial Truck DSC'!$T$110</definedName>
    <definedName name="PA_PM">'Industrial Truck DSC'!$R$63</definedName>
    <definedName name="PA_Rental">'Industrial Truck DSC'!$T$109</definedName>
    <definedName name="PA_Sales">Data!$B$182</definedName>
    <definedName name="PA_SVC">'Industrial Truck DSC'!$T$112</definedName>
    <definedName name="PA_Tech">'Industrial Truck DSC'!$T$111</definedName>
    <definedName name="PA_WHS">'Industrial Truck DSC'!$T$113</definedName>
    <definedName name="PARTSINV">'Industrial Truck DSC'!$T$139</definedName>
    <definedName name="PB_Bonus">Data!$B$696</definedName>
    <definedName name="PBT">'Industrial Truck DSC'!$T$86</definedName>
    <definedName name="PBT_2">Data!$B$210</definedName>
    <definedName name="PDF">'Industrial Truck DSC'!$P$33</definedName>
    <definedName name="Person">'Industrial Truck DSC'!$P$23</definedName>
    <definedName name="Phone">'Industrial Truck DSC'!$P$31</definedName>
    <definedName name="Prev">'Industrial Truck DSC'!$T$53</definedName>
    <definedName name="_xlnm.Print_Area" localSheetId="1">Confidentiality!$A$1:$K$39</definedName>
    <definedName name="_xlnm.Print_Area" localSheetId="4">Data!$A$1:$B$84</definedName>
    <definedName name="_xlnm.Print_Area" localSheetId="0">'Industrial Truck DSC'!$A$1:$T$157</definedName>
    <definedName name="_xlnm.Print_Area" localSheetId="3">Print!$A$6:$V$164</definedName>
    <definedName name="PT">'Industrial Truck DSC'!$T$63</definedName>
    <definedName name="PT_Pct">Data!$B$178</definedName>
    <definedName name="Rent">'Industrial Truck DSC'!$T$70</definedName>
    <definedName name="RentalCost">Data!$B$99</definedName>
    <definedName name="RM">'Industrial Truck DSC'!$T$69</definedName>
    <definedName name="SAL">'Industrial Truck DSC'!$T$62</definedName>
    <definedName name="SAL_TOT">'Industrial Truck DSC'!$T$115</definedName>
    <definedName name="SH">Data!$B$149</definedName>
    <definedName name="State">'Industrial Truck DSC'!$P$29</definedName>
    <definedName name="STunits">'Industrial Truck DSC'!$T$49</definedName>
    <definedName name="STutil">'Industrial Truck DSC'!$T$51</definedName>
    <definedName name="STvalue">'Industrial Truck DSC'!$T$50</definedName>
    <definedName name="SvcCalls">'Industrial Truck DSC'!$T$43</definedName>
    <definedName name="SvcJobs">'Industrial Truck DSC'!$T$46</definedName>
    <definedName name="SvcRecover">'Industrial Truck DSC'!$T$45</definedName>
    <definedName name="SvcVeh_">'Industrial Truck DSC'!$T$44</definedName>
    <definedName name="TA">'Industrial Truck DSC'!$T$146</definedName>
    <definedName name="TA_2">Data!$B$205</definedName>
    <definedName name="Tax">'Industrial Truck DSC'!$T$87</definedName>
    <definedName name="TE">'Industrial Truck DSC'!$T$81</definedName>
    <definedName name="TechApplied">'Industrial Truck DSC'!$T$36</definedName>
    <definedName name="TechBilled">'Industrial Truck DSC'!$T$37</definedName>
    <definedName name="TechPaid">'Industrial Truck DSC'!$T$39</definedName>
    <definedName name="TechWages">Data!$B$98</definedName>
    <definedName name="Tele">Data!$B$700</definedName>
    <definedName name="Title">'Industrial Truck DSC'!$P$24</definedName>
    <definedName name="TOE">'Industrial Truck DSC'!$T$80</definedName>
    <definedName name="TRN">'Industrial Truck DSC'!$T$76</definedName>
    <definedName name="USEDINV">'Industrial Truck DSC'!$T$138</definedName>
    <definedName name="UT">'Industrial Truck DSC'!$T$68</definedName>
    <definedName name="VEH">'Industrial Truck DSC'!$T$73</definedName>
    <definedName name="WHSCOGS">Data!$B$198</definedName>
    <definedName name="WHSGP">Data!$B$199</definedName>
    <definedName name="WHSNS">Data!$B$197</definedName>
    <definedName name="Yr">'Industrial Truck DSC'!$K$4</definedName>
    <definedName name="Zipcode">'Industrial Truck DSC'!$P$30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T59" i="1" l="1"/>
  <c r="T121" i="13" s="1"/>
  <c r="T81" i="1"/>
  <c r="T163" i="1"/>
  <c r="T141" i="1"/>
  <c r="B203" i="18" s="1"/>
  <c r="B224" i="18" s="1"/>
  <c r="T152" i="1"/>
  <c r="B222" i="18" s="1"/>
  <c r="R120" i="1"/>
  <c r="R117" i="1"/>
  <c r="L55" i="1"/>
  <c r="R101" i="1"/>
  <c r="B486" i="18" s="1"/>
  <c r="T101" i="1"/>
  <c r="B164" i="18" s="1"/>
  <c r="R102" i="1"/>
  <c r="T102" i="1"/>
  <c r="L53" i="1"/>
  <c r="T62" i="1"/>
  <c r="B271" i="18" s="1"/>
  <c r="B240" i="18"/>
  <c r="R48" i="13"/>
  <c r="B107" i="18"/>
  <c r="T111" i="1"/>
  <c r="B36" i="18" s="1"/>
  <c r="B552" i="18"/>
  <c r="B264" i="18"/>
  <c r="T115" i="1"/>
  <c r="R66" i="13" s="1"/>
  <c r="B437" i="18"/>
  <c r="B192" i="18" s="1"/>
  <c r="B195" i="18"/>
  <c r="B194" i="18"/>
  <c r="B190" i="18"/>
  <c r="G2" i="18"/>
  <c r="N2" i="18"/>
  <c r="M2" i="18"/>
  <c r="L2" i="18"/>
  <c r="K2" i="18"/>
  <c r="J2" i="18"/>
  <c r="E2" i="18"/>
  <c r="F2" i="18"/>
  <c r="C2" i="18"/>
  <c r="B152" i="13"/>
  <c r="B118" i="13"/>
  <c r="B99" i="18"/>
  <c r="B255" i="18" s="1"/>
  <c r="B98" i="18"/>
  <c r="B254" i="18" s="1"/>
  <c r="B97" i="18"/>
  <c r="B253" i="18" s="1"/>
  <c r="B497" i="18"/>
  <c r="B529" i="18"/>
  <c r="B530" i="18"/>
  <c r="B531" i="18"/>
  <c r="B576" i="18"/>
  <c r="B577" i="18"/>
  <c r="B578" i="18"/>
  <c r="B594" i="18"/>
  <c r="B585" i="18"/>
  <c r="B469" i="18"/>
  <c r="B468" i="18"/>
  <c r="B467" i="18"/>
  <c r="B465" i="18"/>
  <c r="B435" i="18"/>
  <c r="B434" i="18"/>
  <c r="B614" i="18"/>
  <c r="B613" i="18"/>
  <c r="B612" i="18"/>
  <c r="B611" i="18"/>
  <c r="B610" i="18"/>
  <c r="B609" i="18"/>
  <c r="B592" i="18"/>
  <c r="B584" i="18"/>
  <c r="B574" i="18"/>
  <c r="B573" i="18"/>
  <c r="B572" i="18"/>
  <c r="B571" i="18"/>
  <c r="B570" i="18"/>
  <c r="B569" i="18"/>
  <c r="B568" i="18"/>
  <c r="B567" i="18"/>
  <c r="B566" i="18"/>
  <c r="B565" i="18"/>
  <c r="B564" i="18"/>
  <c r="B563" i="18"/>
  <c r="B558" i="18"/>
  <c r="B556" i="18"/>
  <c r="B527" i="18"/>
  <c r="B526" i="18"/>
  <c r="B525" i="18"/>
  <c r="B512" i="18"/>
  <c r="B511" i="18"/>
  <c r="B510" i="18"/>
  <c r="B490" i="18"/>
  <c r="B489" i="18"/>
  <c r="B483" i="18"/>
  <c r="B482" i="18"/>
  <c r="B479" i="18"/>
  <c r="B478" i="18"/>
  <c r="B476" i="18"/>
  <c r="B475" i="18"/>
  <c r="B474" i="18"/>
  <c r="B473" i="18"/>
  <c r="B470" i="18"/>
  <c r="B464" i="18"/>
  <c r="B463" i="18"/>
  <c r="B462" i="18"/>
  <c r="B461" i="18"/>
  <c r="B456" i="18"/>
  <c r="B448" i="18"/>
  <c r="B447" i="18"/>
  <c r="B439" i="18"/>
  <c r="B438" i="18"/>
  <c r="B412" i="18"/>
  <c r="B197" i="18"/>
  <c r="B198" i="18"/>
  <c r="B403" i="18"/>
  <c r="B404" i="18"/>
  <c r="B175" i="18"/>
  <c r="B397" i="18" s="1"/>
  <c r="B173" i="18"/>
  <c r="B392" i="18" s="1"/>
  <c r="B172" i="18"/>
  <c r="B390" i="18" s="1"/>
  <c r="B171" i="18"/>
  <c r="B389" i="18" s="1"/>
  <c r="B170" i="18"/>
  <c r="B388" i="18" s="1"/>
  <c r="B169" i="18"/>
  <c r="B387" i="18" s="1"/>
  <c r="B383" i="18"/>
  <c r="B382" i="18"/>
  <c r="B378" i="18"/>
  <c r="B376" i="18"/>
  <c r="B375" i="18"/>
  <c r="B374" i="18"/>
  <c r="B373" i="18"/>
  <c r="B208" i="18"/>
  <c r="B319" i="18" s="1"/>
  <c r="B296" i="18"/>
  <c r="B295" i="18"/>
  <c r="B294" i="18"/>
  <c r="B290" i="18"/>
  <c r="B286" i="18"/>
  <c r="B285" i="18"/>
  <c r="B284" i="18"/>
  <c r="B283" i="18"/>
  <c r="B282" i="18"/>
  <c r="B281" i="18"/>
  <c r="B280" i="18"/>
  <c r="B279" i="18"/>
  <c r="B278" i="18"/>
  <c r="B277" i="18"/>
  <c r="B276" i="18"/>
  <c r="B274" i="18"/>
  <c r="B273" i="18"/>
  <c r="B272" i="18"/>
  <c r="B265" i="18"/>
  <c r="B263" i="18"/>
  <c r="B261" i="18"/>
  <c r="B260" i="18"/>
  <c r="B259" i="18"/>
  <c r="B207" i="18"/>
  <c r="B225" i="18" s="1"/>
  <c r="B252" i="18"/>
  <c r="B236" i="18"/>
  <c r="B231" i="18"/>
  <c r="B214" i="18"/>
  <c r="B145" i="18"/>
  <c r="B140" i="18"/>
  <c r="B139" i="18"/>
  <c r="B138" i="18"/>
  <c r="B130" i="18"/>
  <c r="B129" i="18"/>
  <c r="B128" i="18"/>
  <c r="B127" i="18"/>
  <c r="B126" i="18"/>
  <c r="B125" i="18"/>
  <c r="B124" i="18"/>
  <c r="B123" i="18"/>
  <c r="B122" i="18"/>
  <c r="B120" i="18"/>
  <c r="B118" i="18"/>
  <c r="B117" i="18"/>
  <c r="B116" i="18"/>
  <c r="B109" i="18"/>
  <c r="B106" i="18"/>
  <c r="B105" i="18"/>
  <c r="B104" i="18"/>
  <c r="B103" i="18"/>
  <c r="B101" i="18"/>
  <c r="B96" i="18"/>
  <c r="B95" i="18"/>
  <c r="B90" i="18"/>
  <c r="B89" i="18"/>
  <c r="B86" i="18"/>
  <c r="B85" i="18"/>
  <c r="B82" i="18"/>
  <c r="B76" i="18"/>
  <c r="B75" i="18"/>
  <c r="B74" i="18"/>
  <c r="B73" i="18"/>
  <c r="B72" i="18"/>
  <c r="B71" i="18"/>
  <c r="B70" i="18"/>
  <c r="B69" i="18"/>
  <c r="B68" i="18"/>
  <c r="B67" i="18"/>
  <c r="B66" i="18"/>
  <c r="B65" i="18"/>
  <c r="B64" i="18"/>
  <c r="B63" i="18"/>
  <c r="B61" i="18"/>
  <c r="B50" i="18"/>
  <c r="B49" i="18"/>
  <c r="B48" i="18"/>
  <c r="B47" i="18"/>
  <c r="B46" i="18"/>
  <c r="B45" i="18"/>
  <c r="B44" i="18"/>
  <c r="B43" i="18"/>
  <c r="B42" i="18"/>
  <c r="B41" i="18"/>
  <c r="B38" i="18"/>
  <c r="B32" i="18"/>
  <c r="B31" i="18"/>
  <c r="B30" i="18"/>
  <c r="B18" i="18"/>
  <c r="B17" i="18"/>
  <c r="B16" i="18"/>
  <c r="B15" i="18"/>
  <c r="B11" i="18"/>
  <c r="B3" i="18"/>
  <c r="B1" i="18"/>
  <c r="R64" i="13"/>
  <c r="B64" i="13"/>
  <c r="R52" i="13"/>
  <c r="B52" i="13"/>
  <c r="A85" i="13"/>
  <c r="R61" i="13"/>
  <c r="R59" i="13"/>
  <c r="R58" i="13"/>
  <c r="R57" i="13"/>
  <c r="C66" i="13"/>
  <c r="B57" i="13"/>
  <c r="B58" i="13"/>
  <c r="B59" i="13"/>
  <c r="B65" i="13"/>
  <c r="B63" i="13"/>
  <c r="B62" i="13"/>
  <c r="B61" i="13"/>
  <c r="B60" i="13"/>
  <c r="B56" i="13"/>
  <c r="A56" i="13"/>
  <c r="B42" i="13"/>
  <c r="B41" i="13"/>
  <c r="B40" i="13"/>
  <c r="A40" i="13"/>
  <c r="T133" i="13"/>
  <c r="R162" i="13"/>
  <c r="R160" i="13"/>
  <c r="R159" i="13"/>
  <c r="R158" i="13"/>
  <c r="R157" i="13"/>
  <c r="R156" i="13"/>
  <c r="P162" i="13"/>
  <c r="P161" i="13"/>
  <c r="P160" i="13"/>
  <c r="P159" i="13"/>
  <c r="P158" i="13"/>
  <c r="P157" i="13"/>
  <c r="P156" i="13"/>
  <c r="P164" i="13"/>
  <c r="B123" i="13"/>
  <c r="M143" i="13"/>
  <c r="T139" i="13"/>
  <c r="T138" i="13"/>
  <c r="T137" i="13"/>
  <c r="T136" i="13"/>
  <c r="T135" i="13"/>
  <c r="T140" i="13"/>
  <c r="T132" i="13"/>
  <c r="T131" i="13"/>
  <c r="T130" i="13"/>
  <c r="B138" i="13"/>
  <c r="B137" i="13"/>
  <c r="B130" i="13"/>
  <c r="C133" i="13"/>
  <c r="B132" i="13"/>
  <c r="B131" i="13"/>
  <c r="B129" i="13"/>
  <c r="T126" i="13"/>
  <c r="T125" i="13"/>
  <c r="T127" i="13"/>
  <c r="B126" i="13"/>
  <c r="B125" i="13"/>
  <c r="T100" i="13"/>
  <c r="T99" i="13"/>
  <c r="T98" i="13"/>
  <c r="T97" i="13"/>
  <c r="D101" i="13"/>
  <c r="C100" i="13"/>
  <c r="C99" i="13"/>
  <c r="C98" i="13"/>
  <c r="C97" i="13"/>
  <c r="B104" i="13"/>
  <c r="T88" i="13"/>
  <c r="T87" i="13"/>
  <c r="T89" i="13"/>
  <c r="T85" i="13"/>
  <c r="B88" i="13"/>
  <c r="B87" i="13"/>
  <c r="R42" i="13"/>
  <c r="R41" i="13"/>
  <c r="R82" i="13"/>
  <c r="R81" i="13"/>
  <c r="R80" i="13"/>
  <c r="J40" i="13"/>
  <c r="R77" i="13"/>
  <c r="R76" i="13"/>
  <c r="R75" i="13"/>
  <c r="R74" i="13"/>
  <c r="B77" i="13"/>
  <c r="S71" i="13"/>
  <c r="S70" i="13"/>
  <c r="R71" i="13"/>
  <c r="R70" i="13"/>
  <c r="R69" i="13"/>
  <c r="R50" i="13"/>
  <c r="R49" i="13"/>
  <c r="R46" i="13"/>
  <c r="R47" i="13"/>
  <c r="A73" i="13"/>
  <c r="B53" i="13"/>
  <c r="B50" i="13"/>
  <c r="B51" i="13"/>
  <c r="B49" i="13"/>
  <c r="B48" i="13"/>
  <c r="B46" i="13"/>
  <c r="B47" i="13"/>
  <c r="B45" i="13"/>
  <c r="R45" i="13"/>
  <c r="R36" i="13"/>
  <c r="B36" i="13"/>
  <c r="A36" i="13"/>
  <c r="B38" i="13"/>
  <c r="A38" i="13"/>
  <c r="B18" i="13"/>
  <c r="P12" i="13"/>
  <c r="B127" i="13"/>
  <c r="B17" i="13"/>
  <c r="B89" i="13"/>
  <c r="T149" i="13"/>
  <c r="T147" i="13"/>
  <c r="T146" i="13"/>
  <c r="T145" i="13"/>
  <c r="T141" i="13"/>
  <c r="T119" i="13"/>
  <c r="T114" i="13"/>
  <c r="T113" i="13"/>
  <c r="T111" i="13"/>
  <c r="T110" i="13"/>
  <c r="T109" i="13"/>
  <c r="T105" i="13"/>
  <c r="T102" i="13"/>
  <c r="T95" i="13"/>
  <c r="T94" i="13"/>
  <c r="T84" i="13"/>
  <c r="T117" i="13"/>
  <c r="R53" i="13"/>
  <c r="P33" i="13"/>
  <c r="P32" i="13"/>
  <c r="P31" i="13"/>
  <c r="P30" i="13"/>
  <c r="P29" i="13"/>
  <c r="P28" i="13"/>
  <c r="P27" i="13"/>
  <c r="P26" i="13"/>
  <c r="P25" i="13"/>
  <c r="P24" i="13"/>
  <c r="L8" i="13"/>
  <c r="M117" i="13" s="1"/>
  <c r="B75" i="13"/>
  <c r="H31" i="13"/>
  <c r="H30" i="13"/>
  <c r="H25" i="13"/>
  <c r="B76" i="13"/>
  <c r="N20" i="13"/>
  <c r="B124" i="13"/>
  <c r="L115" i="13"/>
  <c r="J113" i="13"/>
  <c r="K111" i="13"/>
  <c r="I109" i="13"/>
  <c r="S117" i="13"/>
  <c r="S69" i="13"/>
  <c r="P21" i="13"/>
  <c r="B140" i="13"/>
  <c r="A154" i="13"/>
  <c r="B154" i="13"/>
  <c r="P155" i="13"/>
  <c r="R155" i="13"/>
  <c r="B156" i="13"/>
  <c r="B157" i="13"/>
  <c r="B158" i="13"/>
  <c r="B159" i="13"/>
  <c r="B160" i="13"/>
  <c r="B161" i="13"/>
  <c r="B162" i="13"/>
  <c r="B163" i="13"/>
  <c r="S128" i="13"/>
  <c r="S116" i="13"/>
  <c r="S112" i="13"/>
  <c r="S109" i="13"/>
  <c r="S103" i="13"/>
  <c r="S106" i="13"/>
  <c r="S94" i="13"/>
  <c r="J95" i="13"/>
  <c r="B85" i="13"/>
  <c r="B84" i="13"/>
  <c r="A117" i="13"/>
  <c r="B71" i="13"/>
  <c r="A68" i="13"/>
  <c r="B68" i="13"/>
  <c r="B22" i="13"/>
  <c r="B21" i="13"/>
  <c r="B23" i="13"/>
  <c r="P9" i="13"/>
  <c r="P7" i="13"/>
  <c r="B19" i="13"/>
  <c r="G149" i="13"/>
  <c r="B150" i="13"/>
  <c r="S150" i="13"/>
  <c r="S148" i="13"/>
  <c r="S144" i="13"/>
  <c r="S143" i="13"/>
  <c r="H146" i="13"/>
  <c r="H145" i="13"/>
  <c r="B149" i="13"/>
  <c r="B148" i="13"/>
  <c r="B147" i="13"/>
  <c r="B146" i="13"/>
  <c r="B145" i="13"/>
  <c r="I144" i="13"/>
  <c r="B144" i="13"/>
  <c r="B135" i="13"/>
  <c r="S135" i="13"/>
  <c r="B136" i="13"/>
  <c r="B139" i="13"/>
  <c r="B141" i="13"/>
  <c r="C142" i="13"/>
  <c r="S142" i="13"/>
  <c r="C143" i="13"/>
  <c r="B134" i="13"/>
  <c r="C128" i="13"/>
  <c r="J121" i="13"/>
  <c r="S121" i="13"/>
  <c r="S120" i="13"/>
  <c r="F119" i="13"/>
  <c r="A118" i="13"/>
  <c r="H106" i="13"/>
  <c r="B117" i="13"/>
  <c r="A79" i="13"/>
  <c r="A44" i="13"/>
  <c r="B82" i="13"/>
  <c r="S119" i="13"/>
  <c r="B119" i="13"/>
  <c r="B81" i="13"/>
  <c r="B80" i="13"/>
  <c r="B79" i="13"/>
  <c r="B74" i="13"/>
  <c r="B73" i="13"/>
  <c r="B70" i="13"/>
  <c r="B69" i="13"/>
  <c r="C54" i="13"/>
  <c r="A86" i="13"/>
  <c r="S85" i="13"/>
  <c r="S84" i="13"/>
  <c r="A84" i="13"/>
  <c r="B86" i="13"/>
  <c r="A91" i="13"/>
  <c r="B44" i="13"/>
  <c r="B34" i="13"/>
  <c r="B20" i="13"/>
  <c r="C120" i="13"/>
  <c r="B121" i="13"/>
  <c r="B122" i="13"/>
  <c r="B91" i="13"/>
  <c r="B92" i="13"/>
  <c r="B93" i="13"/>
  <c r="B94" i="13"/>
  <c r="B95" i="13"/>
  <c r="B96" i="13"/>
  <c r="B102" i="13"/>
  <c r="C103" i="13"/>
  <c r="B105" i="13"/>
  <c r="C106" i="13"/>
  <c r="B107" i="13"/>
  <c r="B108" i="13"/>
  <c r="B109" i="13"/>
  <c r="B110" i="13"/>
  <c r="B111" i="13"/>
  <c r="C112" i="13"/>
  <c r="B113" i="13"/>
  <c r="B114" i="13"/>
  <c r="B115" i="13"/>
  <c r="C116" i="13"/>
  <c r="T7" i="13"/>
  <c r="T6" i="13"/>
  <c r="O8" i="13"/>
  <c r="P11" i="13"/>
  <c r="P13" i="13"/>
  <c r="B15" i="13"/>
  <c r="A16" i="13"/>
  <c r="B16" i="13"/>
  <c r="H24" i="13"/>
  <c r="H26" i="13"/>
  <c r="H27" i="13"/>
  <c r="H29" i="13"/>
  <c r="H32" i="13"/>
  <c r="H33" i="13"/>
  <c r="T104" i="13"/>
  <c r="R164" i="13"/>
  <c r="T120" i="13"/>
  <c r="B442" i="18"/>
  <c r="B370" i="18"/>
  <c r="B450" i="18"/>
  <c r="B492" i="18"/>
  <c r="B540" i="18"/>
  <c r="B441" i="18"/>
  <c r="B416" i="18"/>
  <c r="B587" i="18"/>
  <c r="B499" i="18"/>
  <c r="T101" i="13"/>
  <c r="B545" i="18"/>
  <c r="B500" i="18"/>
  <c r="B595" i="18"/>
  <c r="B541" i="18"/>
  <c r="B457" i="18"/>
  <c r="T142" i="13"/>
  <c r="B588" i="18"/>
  <c r="B493" i="18"/>
  <c r="B371" i="18"/>
  <c r="B451" i="18"/>
  <c r="B291" i="18"/>
  <c r="B135" i="18"/>
  <c r="B426" i="18"/>
  <c r="B425" i="18"/>
  <c r="B102" i="18"/>
  <c r="B77" i="18"/>
  <c r="B547" i="18"/>
  <c r="R161" i="13"/>
  <c r="B414" i="18"/>
  <c r="B432" i="18" s="1"/>
  <c r="B413" i="18"/>
  <c r="B559" i="18"/>
  <c r="B249" i="18"/>
  <c r="T128" i="13"/>
  <c r="B275" i="18"/>
  <c r="B537" i="18"/>
  <c r="B423" i="18"/>
  <c r="B193" i="18"/>
  <c r="B417" i="18"/>
  <c r="B538" i="18"/>
  <c r="B548" i="18"/>
  <c r="B422" i="18"/>
  <c r="B174" i="18"/>
  <c r="B396" i="18" s="1"/>
  <c r="B189" i="18"/>
  <c r="B188" i="18"/>
  <c r="B119" i="18"/>
  <c r="B136" i="18"/>
  <c r="B35" i="18"/>
  <c r="T120" i="1"/>
  <c r="B557" i="18"/>
  <c r="B604" i="18"/>
  <c r="R51" i="13"/>
  <c r="R115" i="1"/>
  <c r="B20" i="18" s="1"/>
  <c r="B34" i="18"/>
  <c r="R63" i="13"/>
  <c r="B108" i="18"/>
  <c r="R60" i="13"/>
  <c r="B37" i="18"/>
  <c r="B262" i="18"/>
  <c r="T114" i="1"/>
  <c r="R65" i="13" s="1"/>
  <c r="B147" i="18"/>
  <c r="B202" i="18"/>
  <c r="B233" i="18" s="1"/>
  <c r="B617" i="18" s="1"/>
  <c r="B163" i="18"/>
  <c r="B168" i="18"/>
  <c r="B166" i="18"/>
  <c r="R163" i="13"/>
  <c r="B150" i="18"/>
  <c r="B440" i="18"/>
  <c r="B182" i="18"/>
  <c r="B183" i="18"/>
  <c r="B184" i="18"/>
  <c r="B185" i="18"/>
  <c r="B146" i="18"/>
  <c r="B211" i="18"/>
  <c r="B355" i="18"/>
  <c r="B581" i="18"/>
  <c r="B534" i="18"/>
  <c r="P163" i="13"/>
  <c r="B155" i="18"/>
  <c r="B157" i="18"/>
  <c r="B384" i="18"/>
  <c r="B153" i="18"/>
  <c r="B149" i="18"/>
  <c r="B152" i="18"/>
  <c r="B154" i="18"/>
  <c r="B156" i="18"/>
  <c r="B148" i="18"/>
  <c r="B151" i="18"/>
  <c r="B159" i="18"/>
  <c r="B250" i="18"/>
  <c r="R62" i="13"/>
  <c r="B160" i="18"/>
  <c r="T117" i="1"/>
  <c r="B87" i="18"/>
  <c r="B137" i="18"/>
  <c r="B161" i="18"/>
  <c r="B165" i="18"/>
  <c r="B162" i="18"/>
  <c r="B177" i="18"/>
  <c r="B398" i="18" s="1"/>
  <c r="B199" i="18"/>
  <c r="B134" i="18"/>
  <c r="B292" i="18"/>
  <c r="B144" i="18"/>
  <c r="B209" i="18"/>
  <c r="B293" i="18" s="1"/>
  <c r="T143" i="13"/>
  <c r="B210" i="18"/>
  <c r="B227" i="18" s="1"/>
  <c r="B333" i="18"/>
  <c r="B317" i="18"/>
  <c r="B308" i="18"/>
  <c r="B307" i="18"/>
  <c r="B321" i="18"/>
  <c r="B323" i="18"/>
  <c r="B304" i="18"/>
  <c r="B316" i="18"/>
  <c r="B325" i="18"/>
  <c r="B320" i="18"/>
  <c r="B306" i="18"/>
  <c r="B258" i="18"/>
  <c r="B322" i="18"/>
  <c r="B324" i="18"/>
  <c r="B327" i="18"/>
  <c r="B315" i="18"/>
  <c r="B334" i="18"/>
  <c r="B399" i="18"/>
  <c r="B429" i="18"/>
  <c r="B338" i="18"/>
  <c r="B329" i="18"/>
  <c r="B302" i="18"/>
  <c r="B305" i="18"/>
  <c r="B303" i="18"/>
  <c r="B318" i="18"/>
  <c r="B339" i="18"/>
  <c r="B326" i="18"/>
  <c r="B328" i="18"/>
  <c r="B337" i="18"/>
  <c r="B335" i="18"/>
  <c r="B29" i="18" l="1"/>
  <c r="B26" i="18"/>
  <c r="B235" i="18"/>
  <c r="B223" i="18"/>
  <c r="T118" i="1"/>
  <c r="T112" i="13"/>
  <c r="B88" i="18"/>
  <c r="B239" i="18"/>
  <c r="B314" i="18"/>
  <c r="R54" i="13"/>
  <c r="B178" i="18"/>
  <c r="B187" i="18"/>
  <c r="B179" i="18"/>
  <c r="B110" i="18"/>
  <c r="B266" i="18" s="1"/>
  <c r="T124" i="13"/>
  <c r="B115" i="18"/>
  <c r="B180" i="18"/>
  <c r="B232" i="18"/>
  <c r="B62" i="18"/>
  <c r="B100" i="18"/>
  <c r="B256" i="18" s="1"/>
  <c r="B405" i="18"/>
  <c r="B532" i="18"/>
  <c r="T143" i="1"/>
  <c r="B39" i="18"/>
  <c r="B215" i="18"/>
  <c r="B618" i="18"/>
  <c r="B433" i="18"/>
  <c r="B229" i="18"/>
  <c r="B300" i="18"/>
  <c r="B343" i="18"/>
  <c r="B257" i="18"/>
  <c r="B443" i="18"/>
  <c r="B444" i="18" s="1"/>
  <c r="B406" i="18"/>
  <c r="B579" i="18"/>
  <c r="B336" i="18"/>
  <c r="B430" i="18"/>
  <c r="B40" i="18"/>
  <c r="B196" i="18"/>
  <c r="B191" i="18"/>
  <c r="T82" i="1"/>
  <c r="T144" i="13" s="1"/>
  <c r="B28" i="18"/>
  <c r="B560" i="18"/>
  <c r="B23" i="18"/>
  <c r="B408" i="18"/>
  <c r="B234" i="18"/>
  <c r="B27" i="18"/>
  <c r="B22" i="18"/>
  <c r="B606" i="18"/>
  <c r="B21" i="18"/>
  <c r="B111" i="18"/>
  <c r="B25" i="18"/>
  <c r="B248" i="18"/>
  <c r="B246" i="18"/>
  <c r="B24" i="18"/>
  <c r="B186" i="18"/>
  <c r="B245" i="18"/>
  <c r="B19" i="18"/>
  <c r="B247" i="18"/>
  <c r="R118" i="1"/>
  <c r="B309" i="18" l="1"/>
  <c r="B181" i="18"/>
  <c r="B593" i="18" s="1"/>
  <c r="B596" i="18" s="1"/>
  <c r="B597" i="18" s="1"/>
  <c r="B78" i="18"/>
  <c r="B79" i="18"/>
  <c r="B204" i="18"/>
  <c r="T103" i="13"/>
  <c r="T146" i="1"/>
  <c r="T86" i="1"/>
  <c r="T88" i="1" s="1"/>
  <c r="B409" i="18"/>
  <c r="B449" i="18" l="1"/>
  <c r="B452" i="18" s="1"/>
  <c r="B453" i="18" s="1"/>
  <c r="B369" i="18"/>
  <c r="B424" i="18"/>
  <c r="B427" i="18" s="1"/>
  <c r="B428" i="18" s="1"/>
  <c r="B455" i="18"/>
  <c r="B458" i="18" s="1"/>
  <c r="B459" i="18" s="1"/>
  <c r="B415" i="18"/>
  <c r="B418" i="18" s="1"/>
  <c r="B419" i="18" s="1"/>
  <c r="B546" i="18"/>
  <c r="B549" i="18" s="1"/>
  <c r="B550" i="18" s="1"/>
  <c r="B498" i="18"/>
  <c r="B501" i="18" s="1"/>
  <c r="B502" i="18" s="1"/>
  <c r="B539" i="18"/>
  <c r="B542" i="18" s="1"/>
  <c r="B543" i="18" s="1"/>
  <c r="B491" i="18"/>
  <c r="B494" i="18" s="1"/>
  <c r="B495" i="18" s="1"/>
  <c r="B586" i="18"/>
  <c r="B589" i="18" s="1"/>
  <c r="B590" i="18" s="1"/>
  <c r="T148" i="13"/>
  <c r="B241" i="18"/>
  <c r="B221" i="18"/>
  <c r="B83" i="18"/>
  <c r="B205" i="18"/>
  <c r="T106" i="13"/>
  <c r="B84" i="18"/>
  <c r="T156" i="1"/>
  <c r="B238" i="18"/>
  <c r="T150" i="13"/>
  <c r="B92" i="18" l="1"/>
  <c r="T116" i="13"/>
  <c r="T155" i="1"/>
  <c r="B352" i="18"/>
  <c r="B350" i="18"/>
  <c r="B351" i="18"/>
  <c r="B357" i="18"/>
  <c r="B365" i="18" s="1"/>
  <c r="B346" i="18"/>
  <c r="B345" i="18"/>
  <c r="B359" i="18"/>
  <c r="B358" i="18"/>
  <c r="B362" i="18"/>
  <c r="B216" i="18"/>
  <c r="B363" i="18"/>
  <c r="B217" i="18"/>
  <c r="B347" i="18"/>
  <c r="B356" i="18"/>
  <c r="B348" i="18"/>
  <c r="B360" i="18"/>
  <c r="B353" i="18"/>
  <c r="B361" i="18"/>
  <c r="B228" i="18"/>
  <c r="B354" i="18"/>
  <c r="B364" i="18" l="1"/>
  <c r="B206" i="18"/>
  <c r="B93" i="18"/>
  <c r="T115" i="13"/>
  <c r="B91" i="18"/>
  <c r="B219" i="18" l="1"/>
  <c r="B218" i="18"/>
  <c r="B226" i="18"/>
</calcChain>
</file>

<file path=xl/sharedStrings.xml><?xml version="1.0" encoding="utf-8"?>
<sst xmlns="http://schemas.openxmlformats.org/spreadsheetml/2006/main" count="1068" uniqueCount="683">
  <si>
    <t>Mailing Address</t>
  </si>
  <si>
    <t>Telephone</t>
  </si>
  <si>
    <t xml:space="preserve"> </t>
  </si>
  <si>
    <t>%</t>
  </si>
  <si>
    <t>$</t>
  </si>
  <si>
    <t>Assets</t>
  </si>
  <si>
    <t>Current Assets</t>
  </si>
  <si>
    <t>Other Current Assets</t>
  </si>
  <si>
    <t>Liabilities and Net Worth</t>
  </si>
  <si>
    <t>Current Liabilities</t>
  </si>
  <si>
    <t>Inventory</t>
  </si>
  <si>
    <t>Cash &amp; Marketable Securities</t>
  </si>
  <si>
    <t>Company</t>
  </si>
  <si>
    <t>Survey Deadline</t>
  </si>
  <si>
    <t>Participant data will be aggregated in a way that prevents identification of any individual company.</t>
  </si>
  <si>
    <t>INSTRUCTIONS</t>
  </si>
  <si>
    <r>
      <t xml:space="preserve">Enter the financial statement figures for your </t>
    </r>
    <r>
      <rPr>
        <b/>
        <sz val="10"/>
        <rFont val="Arial"/>
        <family val="2"/>
      </rPr>
      <t>most recently completed fiscal year</t>
    </r>
    <r>
      <rPr>
        <sz val="10"/>
        <rFont val="Arial"/>
        <family val="2"/>
      </rPr>
      <t xml:space="preserve"> (12 months of data).  </t>
    </r>
  </si>
  <si>
    <t>1.</t>
  </si>
  <si>
    <t>2.</t>
  </si>
  <si>
    <t>3.</t>
  </si>
  <si>
    <t>4.</t>
  </si>
  <si>
    <t>Major features of their data management procedure include:</t>
  </si>
  <si>
    <t>STATEMENT OF CONFIDENTIALITY</t>
  </si>
  <si>
    <t>procedures, they have never had a confidentiality problem.</t>
  </si>
  <si>
    <t xml:space="preserve">Specific data masking procedures are in place to ensure that no one company's data can be identified </t>
  </si>
  <si>
    <t>from the aggregate industry data being reported.</t>
  </si>
  <si>
    <t>Your firm's data will be identified in the database only by a company identification number.  A single</t>
  </si>
  <si>
    <t>Every precaution has been taken to protect the complete confidentiality of all information, and this</t>
  </si>
  <si>
    <t>responsibility is taken very seriously.  Companies of all sizes, from less than a million to well over a</t>
  </si>
  <si>
    <t>5.</t>
  </si>
  <si>
    <t>6.</t>
  </si>
  <si>
    <t>7.</t>
  </si>
  <si>
    <t>8.</t>
  </si>
  <si>
    <t>Loans from Stockholders</t>
  </si>
  <si>
    <t>Fax</t>
  </si>
  <si>
    <t>Email Address</t>
  </si>
  <si>
    <t>No</t>
  </si>
  <si>
    <t>Yes</t>
  </si>
  <si>
    <t>Average accounts receivable</t>
  </si>
  <si>
    <t>Owners and management rightly feel that their firm's financial data is highly confidential.</t>
  </si>
  <si>
    <t>Net Sales</t>
  </si>
  <si>
    <t>Other Income</t>
  </si>
  <si>
    <t>Interest Expense</t>
  </si>
  <si>
    <t>Other Non-Operating Expenses</t>
  </si>
  <si>
    <t>Income Taxes</t>
  </si>
  <si>
    <t>Operating Profit</t>
  </si>
  <si>
    <t>August</t>
  </si>
  <si>
    <t>Out of range</t>
  </si>
  <si>
    <t>9.</t>
  </si>
  <si>
    <t>Balance Sheet</t>
  </si>
  <si>
    <t>Cost of Goods Sold</t>
  </si>
  <si>
    <t>Your data will be treated confidentially by Mackay Research Group.</t>
  </si>
  <si>
    <t>handling and protecting data submitted by firms for industry performance surveys. Because of their strict</t>
  </si>
  <si>
    <t>Mackay Research Group is extremely sensitive to this issue, and has developed secure methods of</t>
  </si>
  <si>
    <t>The processing of such data is restricted exclusively to employees of the Mackay Research Group.</t>
  </si>
  <si>
    <t>directly to Mackay Research Group.  Access to your data will be solely restricted to necessary Mackay</t>
  </si>
  <si>
    <t>Research Group personnel.</t>
  </si>
  <si>
    <t>In summary, confidentiality of client information is at the core of Mackay Research Group's business.</t>
  </si>
  <si>
    <t xml:space="preserve">billion dollars in sales, send thousands of survey forms to Mackay Research Group each year, trusting  </t>
  </si>
  <si>
    <t>Mackay Research Group to securely manage their sensitive data.</t>
  </si>
  <si>
    <t>Income Statement</t>
  </si>
  <si>
    <t>CONFIDENTIAL</t>
  </si>
  <si>
    <t xml:space="preserve">Limited Liability Corp (LLC)    </t>
  </si>
  <si>
    <t>Limited Liability Partnership (LLP)</t>
  </si>
  <si>
    <t>Accounts Receivable</t>
  </si>
  <si>
    <t>All Other Operating Expenses</t>
  </si>
  <si>
    <t xml:space="preserve">  Profit Before Taxes</t>
  </si>
  <si>
    <t xml:space="preserve">  Net Profit After Taxes</t>
  </si>
  <si>
    <t>Total Assets</t>
  </si>
  <si>
    <t>Total Current Assets</t>
  </si>
  <si>
    <t>Total Current Liabilities</t>
  </si>
  <si>
    <t>Total Liabilities and Net Worth</t>
  </si>
  <si>
    <t>surveys@mackayresearchgroup.com</t>
  </si>
  <si>
    <t>Accounts Payable</t>
  </si>
  <si>
    <t>Other Current Liabilities</t>
  </si>
  <si>
    <t>Long Term Liabilities</t>
  </si>
  <si>
    <t>Net Worth or Owner Equity</t>
  </si>
  <si>
    <t>Enter 1-12</t>
  </si>
  <si>
    <t>from the data files, where the data is identified only by ID number.</t>
  </si>
  <si>
    <t>master list which cross-references company names and their ID numbers is maintained separately</t>
  </si>
  <si>
    <t>performance to industry benchmarks, please complete the following:</t>
  </si>
  <si>
    <t>Press the Print icon on the tool bar to print a copy of the questionnaire</t>
  </si>
  <si>
    <t>or fax Mackay Research Group, (720) 890-8719</t>
  </si>
  <si>
    <t>Name</t>
  </si>
  <si>
    <t>Title</t>
  </si>
  <si>
    <t>City</t>
  </si>
  <si>
    <t>State</t>
  </si>
  <si>
    <t>Zip Code</t>
  </si>
  <si>
    <r>
      <t>Previous</t>
    </r>
    <r>
      <rPr>
        <sz val="10"/>
        <rFont val="Arial"/>
        <family val="2"/>
      </rPr>
      <t xml:space="preserve"> fiscal year Net Sales</t>
    </r>
  </si>
  <si>
    <t>Year</t>
  </si>
  <si>
    <t>Address1</t>
  </si>
  <si>
    <t>Address2</t>
  </si>
  <si>
    <t>Zipcode</t>
  </si>
  <si>
    <t>Phone</t>
  </si>
  <si>
    <t>Eaddr</t>
  </si>
  <si>
    <t>ORG</t>
  </si>
  <si>
    <t>OEMP</t>
  </si>
  <si>
    <t>EMP</t>
  </si>
  <si>
    <t>PREV</t>
  </si>
  <si>
    <t>AAR</t>
  </si>
  <si>
    <t>AVG</t>
  </si>
  <si>
    <t>LIFO</t>
  </si>
  <si>
    <t>ADD</t>
  </si>
  <si>
    <t>END</t>
  </si>
  <si>
    <t>TA</t>
  </si>
  <si>
    <t>CA</t>
  </si>
  <si>
    <t>CASH</t>
  </si>
  <si>
    <t>AR</t>
  </si>
  <si>
    <t>INV</t>
  </si>
  <si>
    <t>OCA</t>
  </si>
  <si>
    <t>FIXED</t>
  </si>
  <si>
    <t>OFA</t>
  </si>
  <si>
    <t>CL</t>
  </si>
  <si>
    <t>AP</t>
  </si>
  <si>
    <t>NP</t>
  </si>
  <si>
    <t>OCL</t>
  </si>
  <si>
    <t>LTL</t>
  </si>
  <si>
    <t>LOAN</t>
  </si>
  <si>
    <t>EQTY</t>
  </si>
  <si>
    <t>LIAB</t>
  </si>
  <si>
    <t>NS</t>
  </si>
  <si>
    <t>RM</t>
  </si>
  <si>
    <t>UT</t>
  </si>
  <si>
    <t>RENT</t>
  </si>
  <si>
    <t>EQUIP</t>
  </si>
  <si>
    <t>INS</t>
  </si>
  <si>
    <t>DPR</t>
  </si>
  <si>
    <t>COGS</t>
  </si>
  <si>
    <t>GP</t>
  </si>
  <si>
    <t>EXEC</t>
  </si>
  <si>
    <t>SLS</t>
  </si>
  <si>
    <t>PA</t>
  </si>
  <si>
    <t>AD</t>
  </si>
  <si>
    <t>OE</t>
  </si>
  <si>
    <t>TOE</t>
  </si>
  <si>
    <t>TE</t>
  </si>
  <si>
    <t>OP</t>
  </si>
  <si>
    <t>OI</t>
  </si>
  <si>
    <t>INT</t>
  </si>
  <si>
    <t>OEX</t>
  </si>
  <si>
    <t>PBT</t>
  </si>
  <si>
    <t>TAX</t>
  </si>
  <si>
    <t>NET</t>
  </si>
  <si>
    <t>or mail Mackay Research Group, P.O. Box 17668, Boulder, CO 80308-0668</t>
  </si>
  <si>
    <t>ID</t>
  </si>
  <si>
    <t>(12 months of data, most recent fiscal year)</t>
  </si>
  <si>
    <t>taylor@mackayresearchgroup.com</t>
  </si>
  <si>
    <r>
      <t xml:space="preserve">As an option, </t>
    </r>
    <r>
      <rPr>
        <b/>
        <sz val="10"/>
        <rFont val="Arial"/>
        <family val="2"/>
      </rPr>
      <t xml:space="preserve">you may submit a copy of your income statement and balance sheet </t>
    </r>
    <r>
      <rPr>
        <sz val="10"/>
        <rFont val="Arial"/>
        <family val="2"/>
      </rPr>
      <t>(12 months of data)</t>
    </r>
  </si>
  <si>
    <t>Employee Benefits</t>
  </si>
  <si>
    <t>Industrial Truck Distributor</t>
  </si>
  <si>
    <t>No one from MHEDA or its staff will have access to individual company data.</t>
  </si>
  <si>
    <t>Mackay Research Group independently conducts this survey for MHEDA; you send your questionnaire</t>
  </si>
  <si>
    <t>1 = C Corporation    2 = S Corporation    3 = Partnership    4 = Limited Liability Corp (LLC)    5 = Limited Liability Partnership (LLP)</t>
  </si>
  <si>
    <t>Engineered Systems</t>
  </si>
  <si>
    <t>Executives</t>
  </si>
  <si>
    <t>Service</t>
  </si>
  <si>
    <t>Service Technicians</t>
  </si>
  <si>
    <r>
      <t xml:space="preserve">Total technician applied hours </t>
    </r>
    <r>
      <rPr>
        <sz val="10"/>
        <rFont val="Arial Narrow"/>
        <family val="2"/>
      </rPr>
      <t>(hours which could be billed for jobs)</t>
    </r>
  </si>
  <si>
    <t>(internal &amp; external; include customer, warranty, preparation, rental, rebuild, FM, OM)</t>
  </si>
  <si>
    <t>Total labor hours actually billed</t>
  </si>
  <si>
    <t>hrs.</t>
  </si>
  <si>
    <t>Service calls per month</t>
  </si>
  <si>
    <t>Service vehicle expenses</t>
  </si>
  <si>
    <t>Service vehicle expenses recovered</t>
  </si>
  <si>
    <t>Jobs/projects requiring installation per month</t>
  </si>
  <si>
    <t>Calls</t>
  </si>
  <si>
    <t>Jobs</t>
  </si>
  <si>
    <t>Short Term Rental</t>
  </si>
  <si>
    <t>Short term rental units</t>
  </si>
  <si>
    <t>Acquisition value of short term rental fleet</t>
  </si>
  <si>
    <r>
      <t xml:space="preserve">Time utilization of short term rental fleet </t>
    </r>
    <r>
      <rPr>
        <sz val="8"/>
        <color indexed="8"/>
        <rFont val="Arial"/>
        <family val="2"/>
      </rPr>
      <t>(%)</t>
    </r>
  </si>
  <si>
    <t>#</t>
  </si>
  <si>
    <r>
      <t>Number of active customers (</t>
    </r>
    <r>
      <rPr>
        <sz val="10"/>
        <rFont val="Arial Narrow"/>
        <family val="2"/>
      </rPr>
      <t>6 or more orders annually</t>
    </r>
    <r>
      <rPr>
        <sz val="10"/>
        <rFont val="Arial"/>
        <family val="2"/>
      </rPr>
      <t>)</t>
    </r>
  </si>
  <si>
    <r>
      <t>1</t>
    </r>
    <r>
      <rPr>
        <sz val="10"/>
        <rFont val="Arial Narrow"/>
        <family val="2"/>
      </rPr>
      <t xml:space="preserve">=full retail pricing;  </t>
    </r>
    <r>
      <rPr>
        <b/>
        <sz val="10"/>
        <rFont val="Arial Narrow"/>
        <family val="2"/>
      </rPr>
      <t>2</t>
    </r>
    <r>
      <rPr>
        <sz val="10"/>
        <rFont val="Arial Narrow"/>
        <family val="2"/>
      </rPr>
      <t xml:space="preserve">=discount from retail;  </t>
    </r>
    <r>
      <rPr>
        <b/>
        <sz val="10"/>
        <rFont val="Arial Narrow"/>
        <family val="2"/>
      </rPr>
      <t>3</t>
    </r>
    <r>
      <rPr>
        <sz val="10"/>
        <rFont val="Arial Narrow"/>
        <family val="2"/>
      </rPr>
      <t>=cost</t>
    </r>
  </si>
  <si>
    <t>Internal Billing Rates</t>
  </si>
  <si>
    <t>Enter 1-3</t>
  </si>
  <si>
    <t xml:space="preserve">Internal rate for parts </t>
  </si>
  <si>
    <t xml:space="preserve">Internal rate for service/installation </t>
  </si>
  <si>
    <t>Average accounts payable</t>
  </si>
  <si>
    <t>10.</t>
  </si>
  <si>
    <t>11.</t>
  </si>
  <si>
    <t>New Power Equipment over 12 months old</t>
  </si>
  <si>
    <t>Used Power Equipment over 12 months old</t>
  </si>
  <si>
    <t>Parts Inventory over 12 months old</t>
  </si>
  <si>
    <t>New Power Equipment Inventory</t>
  </si>
  <si>
    <t>Used Power Equipment Inventory</t>
  </si>
  <si>
    <t>Parts Inventory</t>
  </si>
  <si>
    <t>All Other Inventory</t>
  </si>
  <si>
    <t>Total Inventory</t>
  </si>
  <si>
    <t>Operating Expenses</t>
  </si>
  <si>
    <t>Payroll Expenses</t>
  </si>
  <si>
    <t>Gross Profit</t>
  </si>
  <si>
    <t>Total Operating Expenses</t>
  </si>
  <si>
    <t>Occupancy Expenses</t>
  </si>
  <si>
    <t>Building Repairs &amp; Maintenance</t>
  </si>
  <si>
    <t>Other Operating Expenses</t>
  </si>
  <si>
    <t>Training</t>
  </si>
  <si>
    <r>
      <t>Organizational structure</t>
    </r>
    <r>
      <rPr>
        <sz val="10"/>
        <rFont val="Arial"/>
        <family val="2"/>
      </rPr>
      <t xml:space="preserve"> (Enter 1-5)</t>
    </r>
  </si>
  <si>
    <t>Product Sales &amp; Cost of Sales</t>
  </si>
  <si>
    <t>Sales</t>
  </si>
  <si>
    <t>New Power Equipment</t>
  </si>
  <si>
    <t>Used Power Equipment</t>
  </si>
  <si>
    <t>Storage/Handling Products</t>
  </si>
  <si>
    <t>All Other Sales</t>
  </si>
  <si>
    <t>Payroll</t>
  </si>
  <si>
    <t>Occupancy</t>
  </si>
  <si>
    <t>Rental Fleet depreciation, maintenance, interest</t>
  </si>
  <si>
    <r>
      <t xml:space="preserve">Service tech wages </t>
    </r>
    <r>
      <rPr>
        <b/>
        <sz val="10"/>
        <rFont val="Arial Narrow"/>
        <family val="2"/>
      </rPr>
      <t>excluding</t>
    </r>
    <r>
      <rPr>
        <sz val="10"/>
        <rFont val="Arial Narrow"/>
        <family val="2"/>
      </rPr>
      <t xml:space="preserve"> benefits in COGS</t>
    </r>
  </si>
  <si>
    <t>MHEDA</t>
  </si>
  <si>
    <t>Total</t>
  </si>
  <si>
    <t>Ltrucks</t>
  </si>
  <si>
    <t>EngSys</t>
  </si>
  <si>
    <t>SH</t>
  </si>
  <si>
    <t>OPROD</t>
  </si>
  <si>
    <t>EMP_Exec</t>
  </si>
  <si>
    <t>TechApplied</t>
  </si>
  <si>
    <t>TechBilled</t>
  </si>
  <si>
    <t>TechPaid</t>
  </si>
  <si>
    <t>SvcCalls</t>
  </si>
  <si>
    <t>SvcVeh</t>
  </si>
  <si>
    <t>SvcRecover</t>
  </si>
  <si>
    <t>SvcJobs</t>
  </si>
  <si>
    <t>STunits</t>
  </si>
  <si>
    <t>STvalue</t>
  </si>
  <si>
    <t>STutil</t>
  </si>
  <si>
    <t>CUST</t>
  </si>
  <si>
    <t>IntParts</t>
  </si>
  <si>
    <t>IntSvc</t>
  </si>
  <si>
    <t>AAP</t>
  </si>
  <si>
    <t>AgeNew</t>
  </si>
  <si>
    <t>AgeUsed</t>
  </si>
  <si>
    <t>AgeParts</t>
  </si>
  <si>
    <t>AgeSH</t>
  </si>
  <si>
    <t>NEWINV</t>
  </si>
  <si>
    <t>USEDINV</t>
  </si>
  <si>
    <t>PARTSINV</t>
  </si>
  <si>
    <t>OINV</t>
  </si>
  <si>
    <t>TechWages</t>
  </si>
  <si>
    <t>RentalCost</t>
  </si>
  <si>
    <t>OCOGS</t>
  </si>
  <si>
    <t>SAL</t>
  </si>
  <si>
    <t>PT</t>
  </si>
  <si>
    <t>BENE</t>
  </si>
  <si>
    <t>Grp_Ins</t>
  </si>
  <si>
    <t>OC</t>
  </si>
  <si>
    <t>VEH</t>
  </si>
  <si>
    <t>TRN</t>
  </si>
  <si>
    <t>MIS</t>
  </si>
  <si>
    <t>NS_New</t>
  </si>
  <si>
    <t>NS_Used</t>
  </si>
  <si>
    <t>NS_SH</t>
  </si>
  <si>
    <t>NS_ES</t>
  </si>
  <si>
    <t>NS_Counter</t>
  </si>
  <si>
    <t>NS_SVC</t>
  </si>
  <si>
    <t>NS_Rent</t>
  </si>
  <si>
    <t>NS_OTH</t>
  </si>
  <si>
    <t>GP_New</t>
  </si>
  <si>
    <t>GP_Used</t>
  </si>
  <si>
    <t>GP_SH</t>
  </si>
  <si>
    <t>GP_ES</t>
  </si>
  <si>
    <t>GP_Counter</t>
  </si>
  <si>
    <t>GP_SVC</t>
  </si>
  <si>
    <t>GP_Rent</t>
  </si>
  <si>
    <t>GP_OTH</t>
  </si>
  <si>
    <t>COGS_New</t>
  </si>
  <si>
    <t>COGS_Used</t>
  </si>
  <si>
    <t>COGS_SH</t>
  </si>
  <si>
    <t>COGS_ES</t>
  </si>
  <si>
    <t>COGS_Counter</t>
  </si>
  <si>
    <t>COGS_SVC</t>
  </si>
  <si>
    <t>COGS_Rent</t>
  </si>
  <si>
    <t>COGS_OTH</t>
  </si>
  <si>
    <t>PA_Sales</t>
  </si>
  <si>
    <t>PA_Parts</t>
  </si>
  <si>
    <t>PA_SCV</t>
  </si>
  <si>
    <t>PA_Rental</t>
  </si>
  <si>
    <t>PA_GA</t>
  </si>
  <si>
    <t>OE_Sales</t>
  </si>
  <si>
    <t>OE_SCV</t>
  </si>
  <si>
    <t>OE_Rental</t>
  </si>
  <si>
    <t>OE_GA</t>
  </si>
  <si>
    <t>OE_Parts</t>
  </si>
  <si>
    <t>OC_Sales</t>
  </si>
  <si>
    <t>OC_SCV</t>
  </si>
  <si>
    <t>OC_Rental</t>
  </si>
  <si>
    <t>OC_GA</t>
  </si>
  <si>
    <t>OC_Parts</t>
  </si>
  <si>
    <t>LT</t>
  </si>
  <si>
    <t>Parts</t>
  </si>
  <si>
    <t>Service – Customer &amp; Internal</t>
  </si>
  <si>
    <t>Rental Billings – Customer &amp; Internal</t>
  </si>
  <si>
    <t>Racks, shelves, bins, drawers, mezzanines, in-plant offices</t>
  </si>
  <si>
    <t>Automated Storage &amp; Retrieval Systems, robotic delivery</t>
  </si>
  <si>
    <t>New power-propelled industrial trucks</t>
  </si>
  <si>
    <t>Used power-propelled industrial trucks</t>
  </si>
  <si>
    <t>(Owners, Senior Level Managers, V.P., etc., excluding sales)</t>
  </si>
  <si>
    <t>Outside Sales, including sales manager</t>
  </si>
  <si>
    <t>Sales Support / Customer Service / Inside Sales</t>
  </si>
  <si>
    <t>Rental Department, including manager</t>
  </si>
  <si>
    <t>Parts Department, including manager</t>
  </si>
  <si>
    <t>Service Dept. other than techs, include manager and admin/support</t>
  </si>
  <si>
    <t>Salaries, Wages, Commissions &amp; Bonuses</t>
  </si>
  <si>
    <t>Assn</t>
  </si>
  <si>
    <t>Inside</t>
  </si>
  <si>
    <t>PA_Tech</t>
  </si>
  <si>
    <t>PA_SVC</t>
  </si>
  <si>
    <t>SAL_TOT</t>
  </si>
  <si>
    <t>BALANCE SHEET</t>
  </si>
  <si>
    <t>INCOME STATEMENT</t>
  </si>
  <si>
    <t>GFA</t>
  </si>
  <si>
    <t>ACCDPR</t>
  </si>
  <si>
    <t>b</t>
  </si>
  <si>
    <t>PT_Pct</t>
  </si>
  <si>
    <t>Grp_Pct</t>
  </si>
  <si>
    <t>BENE_Pct</t>
  </si>
  <si>
    <t>Burden_Pct</t>
  </si>
  <si>
    <t>Tele</t>
  </si>
  <si>
    <t>Enter 1-5</t>
  </si>
  <si>
    <t>C Corporation</t>
  </si>
  <si>
    <t>S Corporation</t>
  </si>
  <si>
    <t>Partnership</t>
  </si>
  <si>
    <t>PA_OTH</t>
  </si>
  <si>
    <t>NS_Install</t>
  </si>
  <si>
    <t>COGS_Install</t>
  </si>
  <si>
    <t>GP_Install</t>
  </si>
  <si>
    <t>EMP_Out</t>
  </si>
  <si>
    <t>EMP_Inside</t>
  </si>
  <si>
    <t>PA_Exec</t>
  </si>
  <si>
    <t>PA_Out</t>
  </si>
  <si>
    <t>PA_Inside</t>
  </si>
  <si>
    <t>EMP_Rental</t>
  </si>
  <si>
    <t>EMP_Parts</t>
  </si>
  <si>
    <t>EMP_Tech</t>
  </si>
  <si>
    <t>EMP_SVC</t>
  </si>
  <si>
    <t>EMP_PM</t>
  </si>
  <si>
    <t>Warehouse Employees / Drivers</t>
  </si>
  <si>
    <t>EMP_WHS</t>
  </si>
  <si>
    <t>PA_WHS</t>
  </si>
  <si>
    <t>PA_PM</t>
  </si>
  <si>
    <t>All Other Employees, Admin./Clerical &amp; other compensation not included above</t>
  </si>
  <si>
    <t>(time clock, vacations, holidays, paid time-off, etc.)</t>
  </si>
  <si>
    <t>Total hours paid to technicians</t>
  </si>
  <si>
    <t>Payroll Taxes</t>
  </si>
  <si>
    <t>Group Insurance</t>
  </si>
  <si>
    <t>NW</t>
  </si>
  <si>
    <t>PB_Bonus</t>
  </si>
  <si>
    <t>Bonus_Owner</t>
  </si>
  <si>
    <t>Bonus_EMP</t>
  </si>
  <si>
    <t>PA_Adjust</t>
  </si>
  <si>
    <t>WHSNS</t>
  </si>
  <si>
    <t>WHSCOGS</t>
  </si>
  <si>
    <t>WHSGP</t>
  </si>
  <si>
    <t>START ANALYSIS</t>
  </si>
  <si>
    <t>LIFO ADJUSTMENTS</t>
  </si>
  <si>
    <t>AVG_2</t>
  </si>
  <si>
    <t>INV_2</t>
  </si>
  <si>
    <t>CA_2</t>
  </si>
  <si>
    <t>TA_2</t>
  </si>
  <si>
    <t>NW_2</t>
  </si>
  <si>
    <t>COGS_2</t>
  </si>
  <si>
    <t>GP_2</t>
  </si>
  <si>
    <t>OP_2</t>
  </si>
  <si>
    <t>PBT_2</t>
  </si>
  <si>
    <t>NET_2</t>
  </si>
  <si>
    <t>INC</t>
  </si>
  <si>
    <t>PM</t>
  </si>
  <si>
    <t>ATO</t>
  </si>
  <si>
    <t>ROA</t>
  </si>
  <si>
    <t>LEV</t>
  </si>
  <si>
    <t>ROWN</t>
  </si>
  <si>
    <t>CUR</t>
  </si>
  <si>
    <t>QUICK</t>
  </si>
  <si>
    <t>CASHCL</t>
  </si>
  <si>
    <t>AP/INV</t>
  </si>
  <si>
    <t>APDAYS</t>
  </si>
  <si>
    <t>DEBT</t>
  </si>
  <si>
    <t>EBIT</t>
  </si>
  <si>
    <t>EBITTA</t>
  </si>
  <si>
    <t>TIMES</t>
  </si>
  <si>
    <t>ARDAYS</t>
  </si>
  <si>
    <t>TURN</t>
  </si>
  <si>
    <t>INVDAYS</t>
  </si>
  <si>
    <t>SALES/INV</t>
  </si>
  <si>
    <t>GMROI</t>
  </si>
  <si>
    <t>Sales/FA</t>
  </si>
  <si>
    <t>GPI</t>
  </si>
  <si>
    <t>CASH/CL</t>
  </si>
  <si>
    <t>DEFENSE</t>
  </si>
  <si>
    <t>WORK</t>
  </si>
  <si>
    <t>Employee Productivity</t>
  </si>
  <si>
    <t xml:space="preserve">Revenue Producing Emps. </t>
  </si>
  <si>
    <t>Sales $ per Employee</t>
  </si>
  <si>
    <t>Gross Profit $ per Employee</t>
  </si>
  <si>
    <t>Salary $ per Employee (incl. direct labor)</t>
  </si>
  <si>
    <t>Payroll $ per Employee (incl. direct labor)</t>
  </si>
  <si>
    <t>Total Payroll Expense (% of Net Sales)</t>
  </si>
  <si>
    <t>Personnel Productivity Ratio (payroll % of GP)</t>
  </si>
  <si>
    <t>PA_OUT</t>
  </si>
  <si>
    <t>GROSS MARGIN</t>
  </si>
  <si>
    <t>STORINV</t>
  </si>
  <si>
    <t xml:space="preserve">﻿G&amp;A Expenses (% of parts, service &amp; rental sales) </t>
  </si>
  <si>
    <t xml:space="preserve">Personnel </t>
  </si>
  <si>
    <t xml:space="preserve">Occupancy </t>
  </si>
  <si>
    <t xml:space="preserve">Other Expenses </t>
  </si>
  <si>
    <t>Sales by Product Category</t>
  </si>
  <si>
    <t>NS_Repair</t>
  </si>
  <si>
    <t>NS_Internal</t>
  </si>
  <si>
    <t>NS_Warranty</t>
  </si>
  <si>
    <t>Gross Margin by Product Category</t>
  </si>
  <si>
    <t>B</t>
  </si>
  <si>
    <t>GP_Repair</t>
  </si>
  <si>
    <t>GP_Internal</t>
  </si>
  <si>
    <t>GP_Warranty</t>
  </si>
  <si>
    <t>PartsTotal</t>
  </si>
  <si>
    <t>Product Sales</t>
  </si>
  <si>
    <t>Product COGS</t>
  </si>
  <si>
    <t>Product Gross Margin</t>
  </si>
  <si>
    <t>GM%</t>
  </si>
  <si>
    <t>GM x NSINV</t>
  </si>
  <si>
    <t>Aftermarket Operations Analysis</t>
  </si>
  <si>
    <t>Aftermarket Revenue</t>
  </si>
  <si>
    <t>Aftermarket COGS</t>
  </si>
  <si>
    <t>Aftermarket Gross Profit</t>
  </si>
  <si>
    <t>Aftermarket Payroll</t>
  </si>
  <si>
    <t>Aftermarket Occupancy</t>
  </si>
  <si>
    <t>Aftermarket Other Expenses</t>
  </si>
  <si>
    <t>Aftermarket G&amp;A Expenses</t>
  </si>
  <si>
    <t>Aftermarket Contribution Profit</t>
  </si>
  <si>
    <t>Aftermarket Income Statement</t>
  </si>
  <si>
    <t>Aftermarket Contribution Margin</t>
  </si>
  <si>
    <t>Overall Gross Margin</t>
  </si>
  <si>
    <t xml:space="preserve">Aftermarket Gross Profit Contribution (%) </t>
  </si>
  <si>
    <t xml:space="preserve">﻿Absorption </t>
  </si>
  <si>
    <t xml:space="preserve">Absorption Rate </t>
  </si>
  <si>
    <t xml:space="preserve">Absorption Rate Without Sales </t>
  </si>
  <si>
    <t xml:space="preserve">﻿Active Customers </t>
  </si>
  <si>
    <t xml:space="preserve">Sales per Customer </t>
  </si>
  <si>
    <t>Equipment/Product Departmental Analysis</t>
  </si>
  <si>
    <t xml:space="preserve">Equipment/Product Sales </t>
  </si>
  <si>
    <t>Equipment/Product COGS</t>
  </si>
  <si>
    <t>Equipment/Product Gross Profit</t>
  </si>
  <si>
    <t>Equipment/Product Payroll</t>
  </si>
  <si>
    <t>Equipment/Product Occupancy</t>
  </si>
  <si>
    <t>Equipment/Product Other Expenses</t>
  </si>
  <si>
    <t>Equipment/Product G&amp;A Expenses</t>
  </si>
  <si>
    <t>Equipment/Product Contribution Profit</t>
  </si>
  <si>
    <t>Equipment/Product Department Income Statement</t>
  </si>
  <si>
    <t>Equipment/Product Department Expenses as a % of Gross Profit</t>
  </si>
  <si>
    <t>Other Expenses</t>
  </si>
  <si>
    <t>Total Dept. G&amp;A Expenses</t>
  </si>
  <si>
    <t>Contribution Margin</t>
  </si>
  <si>
    <t xml:space="preserve">﻿Employees (inside &amp; outside sales) </t>
  </si>
  <si>
    <t>Inside Sales Employees</t>
  </si>
  <si>
    <t>Outside Sales Employees</t>
  </si>
  <si>
    <t>Total Sales Employees</t>
  </si>
  <si>
    <t>Equip Sales per Sales Employee</t>
  </si>
  <si>
    <t>Equip GP per Sales Employee</t>
  </si>
  <si>
    <t xml:space="preserve">﻿Product Mix (% of dept. sales) </t>
  </si>
  <si>
    <t xml:space="preserve">New Power Equipment </t>
  </si>
  <si>
    <t xml:space="preserve">Used Power Equipment </t>
  </si>
  <si>
    <t xml:space="preserve">Storage/Handling Products </t>
  </si>
  <si>
    <t xml:space="preserve">Engineered Systems </t>
  </si>
  <si>
    <t xml:space="preserve">Total Department Sales </t>
  </si>
  <si>
    <t xml:space="preserve">﻿Product Gross Margin </t>
  </si>
  <si>
    <r>
      <t>﻿Inventory Aging</t>
    </r>
    <r>
      <rPr>
        <u/>
        <sz val="10"/>
        <rFont val="Arial"/>
        <family val="2"/>
      </rPr>
      <t xml:space="preserve"> (% of each inventory category) </t>
    </r>
  </si>
  <si>
    <t xml:space="preserve">New Power Equipment &gt; 12 Months </t>
  </si>
  <si>
    <t xml:space="preserve">Used Power Equipment &gt; 12 Months </t>
  </si>
  <si>
    <t xml:space="preserve">Storage/Handling Inventory &gt; 6 Months </t>
  </si>
  <si>
    <t>Not asked in 2019</t>
  </si>
  <si>
    <t>﻿Inventory Turnover</t>
  </si>
  <si>
    <t xml:space="preserve">New Power Equipment Turnover </t>
  </si>
  <si>
    <t xml:space="preserve">Used Power Equipment Turnover </t>
  </si>
  <si>
    <t xml:space="preserve">Storage/Handling Inventory Turnover </t>
  </si>
  <si>
    <t>﻿Parts Department Analysis</t>
  </si>
  <si>
    <t>Parts Sales Volume</t>
  </si>
  <si>
    <t>Parts Department Income Statement</t>
  </si>
  <si>
    <t>Parts Sales</t>
  </si>
  <si>
    <t>Parts COGS</t>
  </si>
  <si>
    <t>Parts Gross Margin</t>
  </si>
  <si>
    <t>Parts Dept. Payroll</t>
  </si>
  <si>
    <t>Parts Dept. Occupancy</t>
  </si>
  <si>
    <t>Parts Dept. Other Expenses</t>
  </si>
  <si>
    <t>Total Parts Dept. G&amp;A Expenses</t>
  </si>
  <si>
    <t>Parts Dept. Contribution Margin</t>
  </si>
  <si>
    <t>Parts Department Expenses as a % of Gross Profit</t>
  </si>
  <si>
    <t>Parts Gross Profit</t>
  </si>
  <si>
    <t xml:space="preserve">Parts Department ﻿Employees </t>
  </si>
  <si>
    <t>Department Management</t>
  </si>
  <si>
    <t>Counter Sales</t>
  </si>
  <si>
    <t>Inside Sales</t>
  </si>
  <si>
    <t>Outside Sales</t>
  </si>
  <si>
    <t>Total Parts Employees</t>
  </si>
  <si>
    <t xml:space="preserve">Parts Sales per Parts Employee </t>
  </si>
  <si>
    <t xml:space="preserve">Parts Gross Profit per Parts Employee </t>
  </si>
  <si>
    <t>Parts Department Sales Mix</t>
  </si>
  <si>
    <t xml:space="preserve">Parts – Counter </t>
  </si>
  <si>
    <t>Parts – Repair Order</t>
  </si>
  <si>
    <t xml:space="preserve">Parts – Internal </t>
  </si>
  <si>
    <t>Parts – Warranty</t>
  </si>
  <si>
    <t xml:space="preserve">Parts – Warranty </t>
  </si>
  <si>
    <t xml:space="preserve">﻿Parts Inventory </t>
  </si>
  <si>
    <t xml:space="preserve">Parts Inventory Turnover </t>
  </si>
  <si>
    <t xml:space="preserve">Parts GMROI </t>
  </si>
  <si>
    <t>﻿Internal Parts Billing Rate</t>
  </si>
  <si>
    <t>Full Retail Pricing</t>
  </si>
  <si>
    <t xml:space="preserve">Discount from Retail </t>
  </si>
  <si>
    <t xml:space="preserve">Cost </t>
  </si>
  <si>
    <t xml:space="preserve">Total </t>
  </si>
  <si>
    <t>﻿Service Department Analysis</t>
  </si>
  <si>
    <t xml:space="preserve">Department Sales </t>
  </si>
  <si>
    <t>Service Department Income Statement</t>
  </si>
  <si>
    <t>Service Revenue</t>
  </si>
  <si>
    <t>Tech Wages</t>
  </si>
  <si>
    <t>Service Gross Margin</t>
  </si>
  <si>
    <t>Service Dept. Payroll</t>
  </si>
  <si>
    <t>Service Dept. Occupancy</t>
  </si>
  <si>
    <t>Service Dept. Other Expenses</t>
  </si>
  <si>
    <t>Total Service Dept. G&amp;A Expenses</t>
  </si>
  <si>
    <t>Service Dept. Contribution Margin</t>
  </si>
  <si>
    <t>Service Department Expenses as a % of Gross Profit</t>
  </si>
  <si>
    <t>Service Gross Profit</t>
  </si>
  <si>
    <t xml:space="preserve">Service Department ﻿Employees </t>
  </si>
  <si>
    <t>Service Management</t>
  </si>
  <si>
    <t>Administrative/Support</t>
  </si>
  <si>
    <t>Total Service Dept. Employees</t>
  </si>
  <si>
    <t>Service Revenue per Service Tech</t>
  </si>
  <si>
    <t>Service Gross Profit per Service Tech</t>
  </si>
  <si>
    <t>Service Tech Ratio</t>
  </si>
  <si>
    <t xml:space="preserve">Rental &amp; Service Tech Ratio (%) </t>
  </si>
  <si>
    <t xml:space="preserve">﻿Service &amp; Installation </t>
  </si>
  <si>
    <t xml:space="preserve">Service Calls per Service Tech (monthly) </t>
  </si>
  <si>
    <t xml:space="preserve">Service Vehicle Expense Recovery Ratio </t>
  </si>
  <si>
    <t>Total Technician Applied Hours</t>
  </si>
  <si>
    <t>Total Labor Hours Actually Billed</t>
  </si>
  <si>
    <t>Total Technician Hours Paid</t>
  </si>
  <si>
    <t>Hours Billed per Hour Paid</t>
  </si>
  <si>
    <t xml:space="preserve">Effective Tech Labor Rate </t>
  </si>
  <si>
    <t xml:space="preserve">Applied Tech Labor Rate </t>
  </si>
  <si>
    <t xml:space="preserve">Jobs/projeccts requiring installation (monthly) </t>
  </si>
  <si>
    <t>﻿Internal Billing Rate for Service/Installation</t>
  </si>
  <si>
    <t>﻿Rental Department Analysis</t>
  </si>
  <si>
    <t>Typical Rental Billings</t>
  </si>
  <si>
    <t>Rental Department Income Statement</t>
  </si>
  <si>
    <t>Rental Revenue</t>
  </si>
  <si>
    <t>Cost of Rental Equipment</t>
  </si>
  <si>
    <t>Rental Gross Margin</t>
  </si>
  <si>
    <t>Rental Dept. Payroll</t>
  </si>
  <si>
    <t>Rental Dept. Occupancy</t>
  </si>
  <si>
    <t>Rental Dept. Other Expenses</t>
  </si>
  <si>
    <t>Total Rental Dept. G&amp;A Expenses</t>
  </si>
  <si>
    <t>Rental Dept. Contribution Margin</t>
  </si>
  <si>
    <t>Rental Department Expenses as a % of Gross Profit</t>
  </si>
  <si>
    <t>Rental Gross Profit</t>
  </si>
  <si>
    <t>Rental Contribution Margin</t>
  </si>
  <si>
    <t xml:space="preserve">Rental Department ﻿Employees </t>
  </si>
  <si>
    <t>Rental Management</t>
  </si>
  <si>
    <t>Rental Administrative/Support</t>
  </si>
  <si>
    <t>Rental Technicians</t>
  </si>
  <si>
    <t>Total Rental Dept. Employees</t>
  </si>
  <si>
    <t>﻿Technicians</t>
  </si>
  <si>
    <t>Rental Tech Ratio</t>
  </si>
  <si>
    <t xml:space="preserve">﻿Rental Fleet </t>
  </si>
  <si>
    <t xml:space="preserve">Number of Rental Units </t>
  </si>
  <si>
    <t xml:space="preserve">Acquisition Value of Rental Fleet </t>
  </si>
  <si>
    <t xml:space="preserve">Rental Revenue per Unit </t>
  </si>
  <si>
    <t xml:space="preserve">Rental Revenue to Fleet Acquisition Cost (%) </t>
  </si>
  <si>
    <t>Rental Revenue to Depreciated Fleet  Asset Value</t>
  </si>
  <si>
    <t>Time Utilization of Rental Fleet</t>
  </si>
  <si>
    <t>CSH</t>
  </si>
  <si>
    <t>DROP</t>
  </si>
  <si>
    <t>&lt;= COGS categories prior to 2018</t>
  </si>
  <si>
    <t>&lt;= Service techs are reported in COGS above</t>
  </si>
  <si>
    <t>&lt;No Installtion for LT, used in S&amp;H</t>
  </si>
  <si>
    <t>&lt;=Not in MHEDA survey</t>
  </si>
  <si>
    <t>— trade receivables, less allowance for bad debts</t>
  </si>
  <si>
    <t>= Cash + A/R + Inventory + Other Current Assets</t>
  </si>
  <si>
    <t xml:space="preserve">Rental Fleet </t>
  </si>
  <si>
    <t>— net of depreciation</t>
  </si>
  <si>
    <t>Other Fixed Assets &amp; Noncurrent Assets</t>
  </si>
  <si>
    <t>= Total Current Assets + Rental Fleet + Fixed Assets &amp; Noncurrent Assets</t>
  </si>
  <si>
    <r>
      <rPr>
        <b/>
        <sz val="10"/>
        <rFont val="Arial"/>
        <family val="2"/>
      </rPr>
      <t>Inventory Aging</t>
    </r>
    <r>
      <rPr>
        <sz val="10"/>
        <rFont val="Arial"/>
        <family val="2"/>
      </rPr>
      <t xml:space="preserve"> </t>
    </r>
  </si>
  <si>
    <t>— Percentage of each inventory category</t>
  </si>
  <si>
    <r>
      <t xml:space="preserve">For averages below use either: (sum of 12 month-end balances / 12) </t>
    </r>
    <r>
      <rPr>
        <u/>
        <sz val="10"/>
        <rFont val="Arial"/>
        <family val="2"/>
      </rPr>
      <t>OR</t>
    </r>
    <r>
      <rPr>
        <sz val="10"/>
        <rFont val="Arial"/>
        <family val="2"/>
      </rPr>
      <t xml:space="preserve"> (sum of 4 quarterly balances / 4)</t>
    </r>
  </si>
  <si>
    <t>— trade</t>
  </si>
  <si>
    <t xml:space="preserve">Notes Payable, Line of Credit, Current Portion of Long-term Debt </t>
  </si>
  <si>
    <t>— due within one year</t>
  </si>
  <si>
    <t>— including accruals, taxes, benefits, etc.</t>
  </si>
  <si>
    <t>— not due within one year</t>
  </si>
  <si>
    <t>— paid-in capital &amp; retained earnings</t>
  </si>
  <si>
    <t>— end of fiscal year</t>
  </si>
  <si>
    <t>— Gross Sales less returns, cash discounts, allowances &amp; sales taxes</t>
  </si>
  <si>
    <t>— include freight-in, less purchase discounts</t>
  </si>
  <si>
    <t>= Net Sales - Total Cost Of Goods Sold</t>
  </si>
  <si>
    <t>— exclude service tech wages included in COGS</t>
  </si>
  <si>
    <r>
      <t xml:space="preserve">— FICA, unemployment, workers' compensation; </t>
    </r>
    <r>
      <rPr>
        <b/>
        <sz val="10"/>
        <rFont val="Arial Narrow"/>
        <family val="2"/>
      </rPr>
      <t>all employees</t>
    </r>
  </si>
  <si>
    <r>
      <t xml:space="preserve">— medical, hospitalization, etc.; </t>
    </r>
    <r>
      <rPr>
        <b/>
        <sz val="10"/>
        <rFont val="Arial Narrow"/>
        <family val="2"/>
      </rPr>
      <t>all employees</t>
    </r>
  </si>
  <si>
    <r>
      <t xml:space="preserve">— pension, 401(k) &amp; benefits not mandated by the government; </t>
    </r>
    <r>
      <rPr>
        <b/>
        <sz val="10"/>
        <rFont val="Arial Narrow"/>
        <family val="2"/>
      </rPr>
      <t>all employees</t>
    </r>
  </si>
  <si>
    <t>Utilities — heat, light, power, water</t>
  </si>
  <si>
    <r>
      <t xml:space="preserve">— </t>
    </r>
    <r>
      <rPr>
        <sz val="10"/>
        <rFont val="Arial Narrow"/>
        <family val="2"/>
      </rPr>
      <t>include rent, mortgage int., bldg. depr., ins., real estate taxes, etc.</t>
    </r>
  </si>
  <si>
    <t>Rent or Real Estate Ownership</t>
  </si>
  <si>
    <t>— incl. gas, oil, repairs &amp; maintenance, insurance, depreciation, leasing, etc.</t>
  </si>
  <si>
    <t>Vehicle</t>
  </si>
  <si>
    <t>Insurance</t>
  </si>
  <si>
    <t>— business liability &amp; casualty; not real estate or group</t>
  </si>
  <si>
    <t>— telephone, data lines, cell phones</t>
  </si>
  <si>
    <t>Computer &amp; MIS/Communications</t>
  </si>
  <si>
    <t>= Payroll + Occupancy + Other Operating Expenses</t>
  </si>
  <si>
    <t>— exclude payroll</t>
  </si>
  <si>
    <t>Marketing/Advertising/Website Costs</t>
  </si>
  <si>
    <t>= Gross Profit - Total Operating Expenses</t>
  </si>
  <si>
    <t>— Interest income, gain on sale of assets, etc.</t>
  </si>
  <si>
    <t>— Excluding mortgage interest</t>
  </si>
  <si>
    <t>= Operating Profit+Other Income-Interest Expense-Other Non-Operating Exp.</t>
  </si>
  <si>
    <t>— Local, State, Federal</t>
  </si>
  <si>
    <t>Type</t>
  </si>
  <si>
    <t>Survey Contact</t>
  </si>
  <si>
    <t>Survey Email</t>
  </si>
  <si>
    <t>Data Contact</t>
  </si>
  <si>
    <t>Data email</t>
  </si>
  <si>
    <t>Address</t>
  </si>
  <si>
    <t>Name/Title</t>
  </si>
  <si>
    <t xml:space="preserve">— Salaries, wages, commissions, bonuses, payroll taxes &amp; benefits </t>
  </si>
  <si>
    <t>— Rent or real estate ownership, building repairs &amp; maintenance, utilities</t>
  </si>
  <si>
    <t>Annual Depreciation</t>
  </si>
  <si>
    <t>Payroll by Department</t>
  </si>
  <si>
    <t>Number of</t>
  </si>
  <si>
    <t>Employees</t>
  </si>
  <si>
    <t>All Other Employees not included above</t>
  </si>
  <si>
    <t>Parts Department — including manager</t>
  </si>
  <si>
    <t>Rental Department — including manager</t>
  </si>
  <si>
    <t>&lt;= COGS_SVC</t>
  </si>
  <si>
    <t>Service Tech Wages</t>
  </si>
  <si>
    <t>Equipment/Product Costs</t>
  </si>
  <si>
    <t>&lt;= Do not use in 2022</t>
  </si>
  <si>
    <t>Number of Service Technicians</t>
  </si>
  <si>
    <r>
      <t xml:space="preserve">Total — </t>
    </r>
    <r>
      <rPr>
        <sz val="10"/>
        <rFont val="Arial"/>
        <family val="2"/>
      </rPr>
      <t>copied from the income statement</t>
    </r>
  </si>
  <si>
    <t>Sales Department</t>
  </si>
  <si>
    <t>Service Department Total</t>
  </si>
  <si>
    <t>Service Department — manager &amp; admin/support, not Techs</t>
  </si>
  <si>
    <t>— manager, admin/support + service techs</t>
  </si>
  <si>
    <t>Service Technician Hours</t>
  </si>
  <si>
    <t>instead of answering questions 5 and 11 on this questionnaire.</t>
  </si>
  <si>
    <t>&lt;= Questions highlight were deleted in 2022</t>
  </si>
  <si>
    <t>Outside Sales &lt;= Changed to Sales Department</t>
  </si>
  <si>
    <t>Deleted</t>
  </si>
  <si>
    <t>Changed</t>
  </si>
  <si>
    <t>All Other Employees, Admin./Clerical &amp; other employees not included above</t>
  </si>
  <si>
    <t>Same</t>
  </si>
  <si>
    <t>= Service COGS</t>
  </si>
  <si>
    <t>Moved to "Technicians", Q1</t>
  </si>
  <si>
    <t>14.</t>
  </si>
  <si>
    <t>— Fiscal year 2020, 12 months of data</t>
  </si>
  <si>
    <r>
      <t xml:space="preserve">Total </t>
    </r>
    <r>
      <rPr>
        <b/>
        <sz val="10"/>
        <rFont val="Arial"/>
        <family val="2"/>
      </rPr>
      <t>Payroll Expenses</t>
    </r>
  </si>
  <si>
    <t>Total Occupancy Expenses</t>
  </si>
  <si>
    <t>Depreciation</t>
  </si>
  <si>
    <t>Total Other Operating Expenses</t>
  </si>
  <si>
    <t>Total Payroll Only</t>
  </si>
  <si>
    <t>Total Occupancy Only</t>
  </si>
  <si>
    <t>Total Operating Expenses Only</t>
  </si>
  <si>
    <t>Operating Expenses, detail line items deleted</t>
  </si>
  <si>
    <t>— FICA, unemployment, workers' compensation</t>
  </si>
  <si>
    <t>— medical, hospitalization, etc.</t>
  </si>
  <si>
    <t>— pension, 401(k) &amp; benefits</t>
  </si>
  <si>
    <t>— stand alone question, Q6</t>
  </si>
  <si>
    <t>Kept</t>
  </si>
  <si>
    <r>
      <t xml:space="preserve">— </t>
    </r>
    <r>
      <rPr>
        <sz val="10"/>
        <color indexed="10"/>
        <rFont val="Arial"/>
        <family val="2"/>
      </rPr>
      <t>60% of participants or left the question blank</t>
    </r>
  </si>
  <si>
    <r>
      <t xml:space="preserve">— </t>
    </r>
    <r>
      <rPr>
        <sz val="10"/>
        <color indexed="10"/>
        <rFont val="Arial"/>
        <family val="2"/>
      </rPr>
      <t>17% of participants reported zero (0) or left the question blank</t>
    </r>
  </si>
  <si>
    <r>
      <t>Number of employees</t>
    </r>
    <r>
      <rPr>
        <sz val="10"/>
        <rFont val="Arial"/>
        <family val="2"/>
      </rPr>
      <t xml:space="preserve"> — Changed to number of employees by department</t>
    </r>
  </si>
  <si>
    <t>Thank you for participating</t>
  </si>
  <si>
    <t>2021 DiSC questions deleted in 2022</t>
  </si>
  <si>
    <t>Securely upload the completed questionnaire to:</t>
  </si>
  <si>
    <t>MHEDA DiSC Dropbox Upload</t>
  </si>
  <si>
    <t xml:space="preserve">Gross Cash Flow </t>
  </si>
  <si>
    <t>Cash Cycle (Days)</t>
  </si>
  <si>
    <r>
      <t>Full year data is required, but the</t>
    </r>
    <r>
      <rPr>
        <b/>
        <i/>
        <sz val="10"/>
        <rFont val="Arial"/>
        <family val="2"/>
      </rPr>
      <t xml:space="preserve"> </t>
    </r>
    <r>
      <rPr>
        <b/>
        <i/>
        <u/>
        <sz val="10"/>
        <rFont val="Arial"/>
        <family val="2"/>
      </rPr>
      <t>DATA NEED NOT BE AUDITED.</t>
    </r>
  </si>
  <si>
    <r>
      <t>For your</t>
    </r>
    <r>
      <rPr>
        <b/>
        <sz val="10"/>
        <rFont val="Arial"/>
        <family val="2"/>
      </rPr>
      <t xml:space="preserve"> FREE </t>
    </r>
    <r>
      <rPr>
        <sz val="10"/>
        <rFont val="Arial"/>
        <family val="2"/>
      </rPr>
      <t xml:space="preserve">individual </t>
    </r>
    <r>
      <rPr>
        <b/>
        <sz val="10"/>
        <rFont val="Arial"/>
        <family val="2"/>
      </rPr>
      <t>Financial Benchmarking Dashboard</t>
    </r>
    <r>
      <rPr>
        <sz val="10"/>
        <rFont val="Arial"/>
        <family val="2"/>
      </rPr>
      <t xml:space="preserve"> which compares your company's</t>
    </r>
  </si>
  <si>
    <t>Only items in yellow boxes can be entered.  All other items are calculated automatically.</t>
  </si>
  <si>
    <t>— exclude rental fleet depreciation</t>
  </si>
  <si>
    <t>DSC Survey</t>
  </si>
  <si>
    <t>Questions regarding this survey? Please email:</t>
  </si>
  <si>
    <t>Or email your completed questionnaire to:</t>
  </si>
  <si>
    <t>Upload your survey using Dropbox link:</t>
  </si>
  <si>
    <t>Upload with Dropbox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</si>
</sst>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0.0"/>
    <numFmt numFmtId="166" formatCode="mmmm\ d\,\ yyyy"/>
    <numFmt numFmtId="167" formatCode="0.0%"/>
    <numFmt numFmtId="168" formatCode="&quot;$&quot;#,##0"/>
    <numFmt numFmtId="169" formatCode="00000"/>
    <numFmt numFmtId="170" formatCode="[&lt;=9999999]###\-####;\(###\)\ ###\-####"/>
    <numFmt numFmtId="171" formatCode="_(* #,##0_);_(* \(#,##0\);_(* &quot;-&quot;??_);_(@_)"/>
    <numFmt numFmtId="172" formatCode="General_)"/>
    <numFmt numFmtId="173" formatCode="[h]:mm"/>
    <numFmt numFmtId="174" formatCode="&quot;$&quot;#,##0;[Red]\-&quot;$&quot;#,##0"/>
    <numFmt numFmtId="175" formatCode="#,##0.00\ &quot;Pts&quot;;[Red]\-#,##0.00\ &quot;Pts&quot;"/>
    <numFmt numFmtId="176" formatCode="#,##0.00&quot; $&quot;;\-#,##0.00&quot; $&quot;"/>
    <numFmt numFmtId="177" formatCode="#,##0.0000000"/>
    <numFmt numFmtId="178" formatCode="0.000%"/>
  </numFmts>
  <fonts count="89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b/>
      <sz val="14"/>
      <name val="Arial"/>
      <family val="2"/>
    </font>
    <font>
      <u/>
      <sz val="10"/>
      <name val="Arial"/>
      <family val="2"/>
    </font>
    <font>
      <sz val="9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  <font>
      <sz val="14"/>
      <name val="Arial"/>
      <family val="2"/>
    </font>
    <font>
      <u/>
      <sz val="11"/>
      <name val="Arial"/>
      <family val="2"/>
    </font>
    <font>
      <sz val="9"/>
      <name val="Arial"/>
      <family val="2"/>
    </font>
    <font>
      <sz val="11"/>
      <name val="Arial"/>
      <family val="2"/>
    </font>
    <font>
      <u/>
      <sz val="11"/>
      <color indexed="12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 Narrow"/>
      <family val="2"/>
    </font>
    <font>
      <sz val="9"/>
      <name val="Arial Narrow"/>
      <family val="2"/>
    </font>
    <font>
      <b/>
      <sz val="14"/>
      <name val="Arial Black"/>
      <family val="2"/>
    </font>
    <font>
      <u/>
      <sz val="11"/>
      <color indexed="12"/>
      <name val="Arial"/>
      <family val="2"/>
    </font>
    <font>
      <u/>
      <sz val="10"/>
      <color indexed="12"/>
      <name val="Arial"/>
      <family val="2"/>
    </font>
    <font>
      <b/>
      <sz val="11"/>
      <name val="Arial Narrow"/>
      <family val="2"/>
    </font>
    <font>
      <u/>
      <sz val="11"/>
      <name val="Arial Narrow"/>
      <family val="2"/>
    </font>
    <font>
      <sz val="14"/>
      <name val="Arial Black"/>
      <family val="2"/>
    </font>
    <font>
      <sz val="12"/>
      <name val="Arial Black"/>
      <family val="2"/>
    </font>
    <font>
      <sz val="12"/>
      <name val="Arial"/>
      <family val="2"/>
    </font>
    <font>
      <u/>
      <sz val="10"/>
      <name val="Arial Narrow"/>
      <family val="2"/>
    </font>
    <font>
      <sz val="10"/>
      <color indexed="8"/>
      <name val="Arial"/>
      <family val="2"/>
    </font>
    <font>
      <sz val="8"/>
      <color indexed="8"/>
      <name val="Arial"/>
      <family val="2"/>
    </font>
    <font>
      <b/>
      <sz val="12"/>
      <name val="Arial Black"/>
      <family val="2"/>
    </font>
    <font>
      <b/>
      <sz val="14"/>
      <name val="Verdana"/>
      <family val="2"/>
    </font>
    <font>
      <sz val="10"/>
      <name val="Arial Black"/>
      <family val="2"/>
    </font>
    <font>
      <i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0"/>
      <name val="Calibri"/>
      <family val="2"/>
    </font>
    <font>
      <b/>
      <sz val="13"/>
      <color indexed="60"/>
      <name val="Calibri"/>
      <family val="2"/>
    </font>
    <font>
      <b/>
      <sz val="11"/>
      <color indexed="60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0"/>
      <name val="Cambria"/>
      <family val="2"/>
    </font>
    <font>
      <b/>
      <sz val="11"/>
      <color indexed="8"/>
      <name val="Calibri"/>
      <family val="2"/>
    </font>
    <font>
      <sz val="10"/>
      <color indexed="12"/>
      <name val="Arial"/>
      <family val="2"/>
    </font>
    <font>
      <sz val="9"/>
      <name val="Helvetica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2"/>
      <name val="Courier"/>
      <family val="3"/>
    </font>
    <font>
      <sz val="11"/>
      <name val="??"/>
      <family val="3"/>
      <charset val="129"/>
    </font>
    <font>
      <b/>
      <u/>
      <sz val="11"/>
      <color indexed="37"/>
      <name val="Arial"/>
      <family val="2"/>
    </font>
    <font>
      <sz val="7"/>
      <name val="Small Fonts"/>
      <family val="2"/>
    </font>
    <font>
      <sz val="8"/>
      <color indexed="12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b/>
      <sz val="10"/>
      <name val="Arial Black"/>
      <family val="2"/>
    </font>
    <font>
      <sz val="10"/>
      <name val="Arial"/>
      <family val="2"/>
    </font>
    <font>
      <b/>
      <i/>
      <sz val="10"/>
      <name val="Arial"/>
      <family val="2"/>
    </font>
    <font>
      <sz val="10"/>
      <color indexed="10"/>
      <name val="Arial"/>
      <family val="2"/>
    </font>
    <font>
      <sz val="11"/>
      <name val="Arial Black"/>
      <family val="2"/>
    </font>
    <font>
      <b/>
      <i/>
      <u/>
      <sz val="10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b/>
      <u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4"/>
      <color theme="0"/>
      <name val="Arial Black"/>
      <family val="2"/>
    </font>
    <font>
      <b/>
      <sz val="10"/>
      <color theme="0"/>
      <name val="Arial"/>
      <family val="2"/>
    </font>
    <font>
      <sz val="11"/>
      <color theme="0"/>
      <name val="Arial Black"/>
      <family val="2"/>
    </font>
    <font>
      <sz val="8"/>
      <color theme="0"/>
      <name val="Arial"/>
      <family val="2"/>
    </font>
    <font>
      <b/>
      <sz val="10"/>
      <color rgb="FFFF0000"/>
      <name val="Arial"/>
      <family val="2"/>
    </font>
    <font>
      <sz val="10"/>
      <color theme="0"/>
      <name val="Arial Black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u/>
      <sz val="12"/>
      <color indexed="12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22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44"/>
        <bgColor indexed="64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52"/>
      </bottom>
      <diagonal/>
    </border>
    <border>
      <left/>
      <right/>
      <top/>
      <bottom style="thick">
        <color indexed="51"/>
      </bottom>
      <diagonal/>
    </border>
    <border>
      <left/>
      <right/>
      <top/>
      <bottom style="medium">
        <color indexed="51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52"/>
      </top>
      <bottom style="double">
        <color indexed="52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4">
    <xf numFmtId="0" fontId="0" fillId="0" borderId="0"/>
    <xf numFmtId="0" fontId="38" fillId="2" borderId="0" applyNumberFormat="0" applyBorder="0" applyAlignment="0" applyProtection="0"/>
    <xf numFmtId="0" fontId="38" fillId="3" borderId="0" applyNumberFormat="0" applyBorder="0" applyAlignment="0" applyProtection="0"/>
    <xf numFmtId="0" fontId="38" fillId="4" borderId="0" applyNumberFormat="0" applyBorder="0" applyAlignment="0" applyProtection="0"/>
    <xf numFmtId="0" fontId="38" fillId="5" borderId="0" applyNumberFormat="0" applyBorder="0" applyAlignment="0" applyProtection="0"/>
    <xf numFmtId="0" fontId="38" fillId="2" borderId="0" applyNumberFormat="0" applyBorder="0" applyAlignment="0" applyProtection="0"/>
    <xf numFmtId="0" fontId="38" fillId="4" borderId="0" applyNumberFormat="0" applyBorder="0" applyAlignment="0" applyProtection="0"/>
    <xf numFmtId="0" fontId="38" fillId="6" borderId="0" applyNumberFormat="0" applyBorder="0" applyAlignment="0" applyProtection="0"/>
    <xf numFmtId="0" fontId="38" fillId="3" borderId="0" applyNumberFormat="0" applyBorder="0" applyAlignment="0" applyProtection="0"/>
    <xf numFmtId="0" fontId="38" fillId="7" borderId="0" applyNumberFormat="0" applyBorder="0" applyAlignment="0" applyProtection="0"/>
    <xf numFmtId="0" fontId="38" fillId="8" borderId="0" applyNumberFormat="0" applyBorder="0" applyAlignment="0" applyProtection="0"/>
    <xf numFmtId="0" fontId="38" fillId="2" borderId="0" applyNumberFormat="0" applyBorder="0" applyAlignment="0" applyProtection="0"/>
    <xf numFmtId="0" fontId="38" fillId="7" borderId="0" applyNumberFormat="0" applyBorder="0" applyAlignment="0" applyProtection="0"/>
    <xf numFmtId="0" fontId="39" fillId="6" borderId="0" applyNumberFormat="0" applyBorder="0" applyAlignment="0" applyProtection="0"/>
    <xf numFmtId="0" fontId="39" fillId="3" borderId="0" applyNumberFormat="0" applyBorder="0" applyAlignment="0" applyProtection="0"/>
    <xf numFmtId="0" fontId="39" fillId="7" borderId="0" applyNumberFormat="0" applyBorder="0" applyAlignment="0" applyProtection="0"/>
    <xf numFmtId="0" fontId="39" fillId="8" borderId="0" applyNumberFormat="0" applyBorder="0" applyAlignment="0" applyProtection="0"/>
    <xf numFmtId="0" fontId="39" fillId="6" borderId="0" applyNumberFormat="0" applyBorder="0" applyAlignment="0" applyProtection="0"/>
    <xf numFmtId="0" fontId="39" fillId="3" borderId="0" applyNumberFormat="0" applyBorder="0" applyAlignment="0" applyProtection="0"/>
    <xf numFmtId="0" fontId="39" fillId="9" borderId="0" applyNumberFormat="0" applyBorder="0" applyAlignment="0" applyProtection="0"/>
    <xf numFmtId="0" fontId="39" fillId="10" borderId="0" applyNumberFormat="0" applyBorder="0" applyAlignment="0" applyProtection="0"/>
    <xf numFmtId="0" fontId="39" fillId="11" borderId="0" applyNumberFormat="0" applyBorder="0" applyAlignment="0" applyProtection="0"/>
    <xf numFmtId="0" fontId="39" fillId="12" borderId="0" applyNumberFormat="0" applyBorder="0" applyAlignment="0" applyProtection="0"/>
    <xf numFmtId="0" fontId="39" fillId="13" borderId="0" applyNumberFormat="0" applyBorder="0" applyAlignment="0" applyProtection="0"/>
    <xf numFmtId="0" fontId="39" fillId="10" borderId="0" applyNumberFormat="0" applyBorder="0" applyAlignment="0" applyProtection="0"/>
    <xf numFmtId="173" fontId="5" fillId="14" borderId="1">
      <alignment horizontal="center" vertical="center"/>
    </xf>
    <xf numFmtId="0" fontId="40" fillId="15" borderId="0" applyNumberFormat="0" applyBorder="0" applyAlignment="0" applyProtection="0"/>
    <xf numFmtId="3" fontId="55" fillId="0" borderId="0"/>
    <xf numFmtId="0" fontId="41" fillId="16" borderId="2" applyNumberFormat="0" applyAlignment="0" applyProtection="0"/>
    <xf numFmtId="0" fontId="42" fillId="17" borderId="3" applyNumberFormat="0" applyAlignment="0" applyProtection="0"/>
    <xf numFmtId="43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174" fontId="61" fillId="0" borderId="0">
      <protection locked="0"/>
    </xf>
    <xf numFmtId="172" fontId="60" fillId="0" borderId="0"/>
    <xf numFmtId="0" fontId="43" fillId="0" borderId="0" applyNumberFormat="0" applyFill="0" applyBorder="0" applyAlignment="0" applyProtection="0"/>
    <xf numFmtId="175" fontId="5" fillId="0" borderId="0">
      <protection locked="0"/>
    </xf>
    <xf numFmtId="0" fontId="44" fillId="18" borderId="0" applyNumberFormat="0" applyBorder="0" applyAlignment="0" applyProtection="0"/>
    <xf numFmtId="38" fontId="6" fillId="19" borderId="0" applyNumberFormat="0" applyBorder="0" applyAlignment="0" applyProtection="0"/>
    <xf numFmtId="0" fontId="62" fillId="0" borderId="0" applyNumberFormat="0" applyFill="0" applyBorder="0" applyAlignment="0" applyProtection="0"/>
    <xf numFmtId="0" fontId="2" fillId="0" borderId="4" applyNumberFormat="0" applyAlignment="0" applyProtection="0">
      <alignment horizontal="left" vertical="center"/>
    </xf>
    <xf numFmtId="0" fontId="2" fillId="0" borderId="5">
      <alignment horizontal="left" vertical="center"/>
    </xf>
    <xf numFmtId="0" fontId="45" fillId="0" borderId="6" applyNumberFormat="0" applyFill="0" applyAlignment="0" applyProtection="0"/>
    <xf numFmtId="0" fontId="46" fillId="0" borderId="7" applyNumberFormat="0" applyFill="0" applyAlignment="0" applyProtection="0"/>
    <xf numFmtId="0" fontId="47" fillId="0" borderId="8" applyNumberFormat="0" applyFill="0" applyAlignment="0" applyProtection="0"/>
    <xf numFmtId="0" fontId="47" fillId="0" borderId="0" applyNumberFormat="0" applyFill="0" applyBorder="0" applyAlignment="0" applyProtection="0"/>
    <xf numFmtId="176" fontId="5" fillId="0" borderId="0">
      <protection locked="0"/>
    </xf>
    <xf numFmtId="176" fontId="5" fillId="0" borderId="0">
      <protection locked="0"/>
    </xf>
    <xf numFmtId="0" fontId="54" fillId="0" borderId="9" applyNumberFormat="0" applyFill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25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7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66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10" fontId="6" fillId="20" borderId="10" applyNumberFormat="0" applyBorder="0" applyAlignment="0" applyProtection="0"/>
    <xf numFmtId="10" fontId="6" fillId="20" borderId="10" applyNumberFormat="0" applyBorder="0" applyAlignment="0" applyProtection="0"/>
    <xf numFmtId="10" fontId="6" fillId="20" borderId="10" applyNumberFormat="0" applyBorder="0" applyAlignment="0" applyProtection="0"/>
    <xf numFmtId="0" fontId="48" fillId="7" borderId="2" applyNumberFormat="0" applyAlignment="0" applyProtection="0"/>
    <xf numFmtId="0" fontId="49" fillId="0" borderId="11" applyNumberFormat="0" applyFill="0" applyAlignment="0" applyProtection="0"/>
    <xf numFmtId="0" fontId="50" fillId="7" borderId="0" applyNumberFormat="0" applyBorder="0" applyAlignment="0" applyProtection="0"/>
    <xf numFmtId="37" fontId="63" fillId="0" borderId="0"/>
    <xf numFmtId="177" fontId="5" fillId="0" borderId="0"/>
    <xf numFmtId="0" fontId="74" fillId="0" borderId="0"/>
    <xf numFmtId="0" fontId="5" fillId="0" borderId="0"/>
    <xf numFmtId="0" fontId="74" fillId="0" borderId="0"/>
    <xf numFmtId="0" fontId="5" fillId="0" borderId="0"/>
    <xf numFmtId="0" fontId="74" fillId="0" borderId="0"/>
    <xf numFmtId="0" fontId="5" fillId="0" borderId="0"/>
    <xf numFmtId="0" fontId="74" fillId="0" borderId="0"/>
    <xf numFmtId="0" fontId="5" fillId="0" borderId="0"/>
    <xf numFmtId="0" fontId="74" fillId="0" borderId="0"/>
    <xf numFmtId="0" fontId="5" fillId="0" borderId="0"/>
    <xf numFmtId="0" fontId="74" fillId="0" borderId="0"/>
    <xf numFmtId="0" fontId="5" fillId="0" borderId="0"/>
    <xf numFmtId="0" fontId="74" fillId="0" borderId="0"/>
    <xf numFmtId="0" fontId="5" fillId="0" borderId="0"/>
    <xf numFmtId="0" fontId="74" fillId="0" borderId="0"/>
    <xf numFmtId="0" fontId="74" fillId="0" borderId="0"/>
    <xf numFmtId="0" fontId="5" fillId="0" borderId="0"/>
    <xf numFmtId="0" fontId="5" fillId="0" borderId="0"/>
    <xf numFmtId="0" fontId="22" fillId="0" borderId="0"/>
    <xf numFmtId="0" fontId="5" fillId="0" borderId="0"/>
    <xf numFmtId="0" fontId="38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5" fillId="0" borderId="0"/>
    <xf numFmtId="0" fontId="5" fillId="0" borderId="0"/>
    <xf numFmtId="0" fontId="5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3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74" fillId="0" borderId="0"/>
    <xf numFmtId="0" fontId="32" fillId="0" borderId="0"/>
    <xf numFmtId="0" fontId="74" fillId="0" borderId="0"/>
    <xf numFmtId="0" fontId="74" fillId="0" borderId="0"/>
    <xf numFmtId="0" fontId="5" fillId="0" borderId="0"/>
    <xf numFmtId="0" fontId="32" fillId="0" borderId="0"/>
    <xf numFmtId="0" fontId="74" fillId="0" borderId="0"/>
    <xf numFmtId="0" fontId="32" fillId="0" borderId="0"/>
    <xf numFmtId="0" fontId="5" fillId="0" borderId="0"/>
    <xf numFmtId="0" fontId="74" fillId="0" borderId="0"/>
    <xf numFmtId="0" fontId="32" fillId="0" borderId="0"/>
    <xf numFmtId="0" fontId="74" fillId="0" borderId="0"/>
    <xf numFmtId="0" fontId="5" fillId="0" borderId="0"/>
    <xf numFmtId="0" fontId="5" fillId="4" borderId="12" applyNumberFormat="0" applyFont="0" applyAlignment="0" applyProtection="0"/>
    <xf numFmtId="0" fontId="51" fillId="16" borderId="13" applyNumberFormat="0" applyAlignment="0" applyProtection="0"/>
    <xf numFmtId="40" fontId="56" fillId="21" borderId="0">
      <alignment horizontal="right"/>
    </xf>
    <xf numFmtId="0" fontId="57" fillId="21" borderId="0">
      <alignment horizontal="right"/>
    </xf>
    <xf numFmtId="0" fontId="58" fillId="21" borderId="14"/>
    <xf numFmtId="0" fontId="58" fillId="0" borderId="0" applyBorder="0">
      <alignment horizontal="centerContinuous"/>
    </xf>
    <xf numFmtId="0" fontId="59" fillId="0" borderId="0" applyBorder="0">
      <alignment horizontal="centerContinuous"/>
    </xf>
    <xf numFmtId="10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67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15" applyNumberFormat="0" applyFill="0" applyAlignment="0" applyProtection="0"/>
    <xf numFmtId="37" fontId="6" fillId="22" borderId="0" applyNumberFormat="0" applyBorder="0" applyAlignment="0" applyProtection="0"/>
    <xf numFmtId="37" fontId="6" fillId="0" borderId="0"/>
    <xf numFmtId="3" fontId="64" fillId="0" borderId="9" applyProtection="0"/>
    <xf numFmtId="0" fontId="49" fillId="0" borderId="0" applyNumberFormat="0" applyFill="0" applyBorder="0" applyAlignment="0" applyProtection="0"/>
  </cellStyleXfs>
  <cellXfs count="523">
    <xf numFmtId="0" fontId="0" fillId="0" borderId="0" xfId="0"/>
    <xf numFmtId="0" fontId="3" fillId="0" borderId="0" xfId="0" applyFont="1"/>
    <xf numFmtId="3" fontId="0" fillId="0" borderId="0" xfId="0" applyNumberFormat="1"/>
    <xf numFmtId="0" fontId="3" fillId="0" borderId="0" xfId="0" applyFont="1" applyAlignment="1">
      <alignment horizontal="right"/>
    </xf>
    <xf numFmtId="0" fontId="5" fillId="0" borderId="0" xfId="0" applyFo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8" fillId="0" borderId="0" xfId="55" applyBorder="1" applyAlignment="1" applyProtection="1">
      <alignment horizontal="center"/>
    </xf>
    <xf numFmtId="49" fontId="5" fillId="0" borderId="0" xfId="0" applyNumberFormat="1" applyFont="1" applyAlignment="1">
      <alignment horizontal="right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49" fontId="0" fillId="0" borderId="0" xfId="0" applyNumberFormat="1"/>
    <xf numFmtId="3" fontId="5" fillId="0" borderId="0" xfId="0" applyNumberFormat="1" applyFont="1"/>
    <xf numFmtId="0" fontId="9" fillId="0" borderId="0" xfId="0" applyFont="1" applyAlignment="1">
      <alignment horizontal="center"/>
    </xf>
    <xf numFmtId="0" fontId="7" fillId="0" borderId="0" xfId="0" applyFont="1"/>
    <xf numFmtId="0" fontId="0" fillId="0" borderId="0" xfId="0" applyAlignment="1">
      <alignment horizontal="left"/>
    </xf>
    <xf numFmtId="3" fontId="0" fillId="0" borderId="5" xfId="0" applyNumberFormat="1" applyBorder="1"/>
    <xf numFmtId="164" fontId="0" fillId="0" borderId="0" xfId="0" applyNumberFormat="1"/>
    <xf numFmtId="164" fontId="3" fillId="0" borderId="0" xfId="0" applyNumberFormat="1" applyFont="1"/>
    <xf numFmtId="49" fontId="3" fillId="0" borderId="0" xfId="0" applyNumberFormat="1" applyFont="1" applyAlignment="1">
      <alignment horizontal="right"/>
    </xf>
    <xf numFmtId="0" fontId="6" fillId="0" borderId="0" xfId="0" applyFont="1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49" fontId="3" fillId="0" borderId="0" xfId="0" applyNumberFormat="1" applyFont="1"/>
    <xf numFmtId="168" fontId="0" fillId="0" borderId="0" xfId="0" applyNumberFormat="1"/>
    <xf numFmtId="0" fontId="0" fillId="14" borderId="0" xfId="0" applyFill="1"/>
    <xf numFmtId="3" fontId="3" fillId="0" borderId="0" xfId="0" applyNumberFormat="1" applyFont="1"/>
    <xf numFmtId="0" fontId="0" fillId="0" borderId="14" xfId="0" applyBorder="1"/>
    <xf numFmtId="0" fontId="8" fillId="0" borderId="0" xfId="55" applyFill="1" applyBorder="1" applyAlignment="1" applyProtection="1"/>
    <xf numFmtId="0" fontId="3" fillId="0" borderId="16" xfId="0" applyFont="1" applyBorder="1" applyAlignment="1">
      <alignment horizontal="center"/>
    </xf>
    <xf numFmtId="166" fontId="3" fillId="0" borderId="17" xfId="0" applyNumberFormat="1" applyFont="1" applyBorder="1" applyAlignment="1">
      <alignment horizontal="center"/>
    </xf>
    <xf numFmtId="49" fontId="7" fillId="0" borderId="0" xfId="0" applyNumberFormat="1" applyFont="1" applyAlignment="1">
      <alignment horizontal="right"/>
    </xf>
    <xf numFmtId="49" fontId="7" fillId="0" borderId="0" xfId="0" applyNumberFormat="1" applyFont="1"/>
    <xf numFmtId="3" fontId="7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0" fontId="22" fillId="0" borderId="0" xfId="0" applyFont="1"/>
    <xf numFmtId="49" fontId="12" fillId="0" borderId="0" xfId="0" applyNumberFormat="1" applyFont="1"/>
    <xf numFmtId="49" fontId="11" fillId="0" borderId="0" xfId="0" applyNumberFormat="1" applyFont="1"/>
    <xf numFmtId="49" fontId="22" fillId="0" borderId="0" xfId="0" applyNumberFormat="1" applyFont="1"/>
    <xf numFmtId="49" fontId="5" fillId="0" borderId="0" xfId="0" applyNumberFormat="1" applyFont="1"/>
    <xf numFmtId="49" fontId="6" fillId="0" borderId="0" xfId="0" applyNumberFormat="1" applyFont="1"/>
    <xf numFmtId="0" fontId="12" fillId="0" borderId="0" xfId="0" applyFont="1"/>
    <xf numFmtId="0" fontId="11" fillId="0" borderId="0" xfId="0" applyFont="1"/>
    <xf numFmtId="1" fontId="7" fillId="0" borderId="0" xfId="0" applyNumberFormat="1" applyFont="1"/>
    <xf numFmtId="3" fontId="21" fillId="0" borderId="0" xfId="0" applyNumberFormat="1" applyFont="1" applyAlignment="1">
      <alignment horizontal="right"/>
    </xf>
    <xf numFmtId="49" fontId="21" fillId="0" borderId="0" xfId="0" applyNumberFormat="1" applyFont="1"/>
    <xf numFmtId="3" fontId="26" fillId="0" borderId="0" xfId="0" applyNumberFormat="1" applyFont="1" applyAlignment="1">
      <alignment horizontal="right"/>
    </xf>
    <xf numFmtId="0" fontId="21" fillId="0" borderId="0" xfId="0" applyFont="1"/>
    <xf numFmtId="164" fontId="15" fillId="0" borderId="0" xfId="0" applyNumberFormat="1" applyFont="1"/>
    <xf numFmtId="0" fontId="5" fillId="0" borderId="0" xfId="0" applyFont="1" applyAlignment="1">
      <alignment horizontal="right"/>
    </xf>
    <xf numFmtId="0" fontId="0" fillId="0" borderId="0" xfId="0" applyProtection="1">
      <protection locked="0"/>
    </xf>
    <xf numFmtId="165" fontId="30" fillId="0" borderId="0" xfId="0" quotePrefix="1" applyNumberFormat="1" applyFont="1"/>
    <xf numFmtId="0" fontId="30" fillId="0" borderId="0" xfId="91" quotePrefix="1" applyFont="1"/>
    <xf numFmtId="3" fontId="30" fillId="0" borderId="0" xfId="91" quotePrefix="1" applyNumberFormat="1" applyFont="1"/>
    <xf numFmtId="0" fontId="30" fillId="0" borderId="0" xfId="0" applyFont="1"/>
    <xf numFmtId="0" fontId="16" fillId="0" borderId="0" xfId="0" applyFont="1"/>
    <xf numFmtId="49" fontId="0" fillId="0" borderId="0" xfId="0" applyNumberFormat="1" applyAlignment="1">
      <alignment horizontal="right"/>
    </xf>
    <xf numFmtId="0" fontId="9" fillId="14" borderId="0" xfId="0" applyFont="1" applyFill="1" applyAlignment="1">
      <alignment horizontal="center"/>
    </xf>
    <xf numFmtId="0" fontId="20" fillId="0" borderId="0" xfId="0" applyFont="1"/>
    <xf numFmtId="49" fontId="16" fillId="0" borderId="0" xfId="0" applyNumberFormat="1" applyFont="1"/>
    <xf numFmtId="164" fontId="5" fillId="0" borderId="0" xfId="0" applyNumberFormat="1" applyFont="1"/>
    <xf numFmtId="0" fontId="0" fillId="0" borderId="18" xfId="0" applyBorder="1"/>
    <xf numFmtId="0" fontId="0" fillId="0" borderId="19" xfId="0" applyBorder="1"/>
    <xf numFmtId="0" fontId="6" fillId="0" borderId="18" xfId="0" applyFont="1" applyBorder="1"/>
    <xf numFmtId="0" fontId="6" fillId="0" borderId="20" xfId="0" applyFont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3" fillId="0" borderId="18" xfId="0" applyFont="1" applyBorder="1"/>
    <xf numFmtId="0" fontId="3" fillId="0" borderId="22" xfId="0" applyFont="1" applyBorder="1"/>
    <xf numFmtId="0" fontId="6" fillId="0" borderId="22" xfId="0" applyFont="1" applyBorder="1"/>
    <xf numFmtId="0" fontId="4" fillId="0" borderId="0" xfId="0" applyFont="1"/>
    <xf numFmtId="3" fontId="0" fillId="0" borderId="0" xfId="0" applyNumberFormat="1" applyAlignment="1">
      <alignment horizontal="right"/>
    </xf>
    <xf numFmtId="0" fontId="3" fillId="0" borderId="19" xfId="0" applyFont="1" applyBorder="1" applyAlignment="1">
      <alignment horizontal="right"/>
    </xf>
    <xf numFmtId="0" fontId="3" fillId="0" borderId="21" xfId="0" applyFont="1" applyBorder="1" applyAlignment="1">
      <alignment horizontal="right"/>
    </xf>
    <xf numFmtId="0" fontId="5" fillId="0" borderId="19" xfId="0" applyFont="1" applyBorder="1" applyAlignment="1">
      <alignment horizontal="right"/>
    </xf>
    <xf numFmtId="0" fontId="0" fillId="0" borderId="21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20" xfId="0" applyBorder="1" applyAlignment="1">
      <alignment horizontal="right"/>
    </xf>
    <xf numFmtId="0" fontId="3" fillId="0" borderId="18" xfId="0" applyFont="1" applyBorder="1" applyAlignment="1">
      <alignment horizontal="right"/>
    </xf>
    <xf numFmtId="0" fontId="0" fillId="0" borderId="18" xfId="0" applyBorder="1" applyAlignment="1">
      <alignment horizontal="right"/>
    </xf>
    <xf numFmtId="0" fontId="3" fillId="0" borderId="22" xfId="0" applyFont="1" applyBorder="1" applyAlignment="1">
      <alignment horizontal="right"/>
    </xf>
    <xf numFmtId="0" fontId="5" fillId="0" borderId="2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5" fillId="0" borderId="17" xfId="0" applyFont="1" applyBorder="1"/>
    <xf numFmtId="168" fontId="0" fillId="0" borderId="18" xfId="0" applyNumberFormat="1" applyBorder="1"/>
    <xf numFmtId="168" fontId="0" fillId="0" borderId="20" xfId="0" applyNumberFormat="1" applyBorder="1"/>
    <xf numFmtId="0" fontId="9" fillId="23" borderId="23" xfId="0" applyFont="1" applyFill="1" applyBorder="1" applyAlignment="1">
      <alignment horizontal="left"/>
    </xf>
    <xf numFmtId="0" fontId="9" fillId="23" borderId="4" xfId="0" applyFont="1" applyFill="1" applyBorder="1" applyAlignment="1">
      <alignment horizontal="left"/>
    </xf>
    <xf numFmtId="0" fontId="9" fillId="23" borderId="4" xfId="0" applyFont="1" applyFill="1" applyBorder="1" applyAlignment="1">
      <alignment horizontal="center"/>
    </xf>
    <xf numFmtId="0" fontId="0" fillId="23" borderId="4" xfId="0" applyFill="1" applyBorder="1"/>
    <xf numFmtId="0" fontId="1" fillId="23" borderId="24" xfId="0" applyFont="1" applyFill="1" applyBorder="1"/>
    <xf numFmtId="0" fontId="0" fillId="14" borderId="25" xfId="0" applyFill="1" applyBorder="1"/>
    <xf numFmtId="0" fontId="0" fillId="14" borderId="26" xfId="0" applyFill="1" applyBorder="1"/>
    <xf numFmtId="0" fontId="3" fillId="14" borderId="0" xfId="0" applyFont="1" applyFill="1" applyAlignment="1">
      <alignment horizontal="right"/>
    </xf>
    <xf numFmtId="0" fontId="23" fillId="14" borderId="0" xfId="0" applyFont="1" applyFill="1" applyAlignment="1">
      <alignment horizontal="center" vertical="center"/>
    </xf>
    <xf numFmtId="0" fontId="23" fillId="14" borderId="0" xfId="0" applyFont="1" applyFill="1" applyAlignment="1">
      <alignment horizontal="left" vertical="center"/>
    </xf>
    <xf numFmtId="166" fontId="3" fillId="14" borderId="0" xfId="0" applyNumberFormat="1" applyFont="1" applyFill="1" applyAlignment="1">
      <alignment horizontal="center"/>
    </xf>
    <xf numFmtId="0" fontId="12" fillId="0" borderId="0" xfId="0" applyFont="1" applyAlignment="1">
      <alignment horizontal="right"/>
    </xf>
    <xf numFmtId="0" fontId="7" fillId="0" borderId="27" xfId="0" applyFont="1" applyBorder="1"/>
    <xf numFmtId="0" fontId="7" fillId="0" borderId="16" xfId="0" applyFont="1" applyBorder="1"/>
    <xf numFmtId="0" fontId="0" fillId="0" borderId="16" xfId="0" applyBorder="1"/>
    <xf numFmtId="0" fontId="12" fillId="0" borderId="16" xfId="0" applyFont="1" applyBorder="1" applyAlignment="1">
      <alignment horizontal="center"/>
    </xf>
    <xf numFmtId="0" fontId="7" fillId="0" borderId="28" xfId="0" applyFont="1" applyBorder="1"/>
    <xf numFmtId="0" fontId="7" fillId="0" borderId="26" xfId="0" applyFont="1" applyBorder="1"/>
    <xf numFmtId="0" fontId="5" fillId="0" borderId="29" xfId="0" applyFont="1" applyBorder="1"/>
    <xf numFmtId="0" fontId="5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0" fillId="0" borderId="17" xfId="0" applyBorder="1"/>
    <xf numFmtId="0" fontId="5" fillId="0" borderId="30" xfId="0" applyFont="1" applyBorder="1"/>
    <xf numFmtId="0" fontId="5" fillId="0" borderId="26" xfId="0" applyFont="1" applyBorder="1"/>
    <xf numFmtId="0" fontId="8" fillId="0" borderId="0" xfId="55" applyFill="1" applyBorder="1" applyAlignment="1" applyProtection="1">
      <alignment horizontal="center"/>
    </xf>
    <xf numFmtId="0" fontId="17" fillId="0" borderId="0" xfId="0" applyFont="1"/>
    <xf numFmtId="0" fontId="7" fillId="0" borderId="0" xfId="55" applyFont="1" applyFill="1" applyAlignment="1" applyProtection="1"/>
    <xf numFmtId="169" fontId="7" fillId="0" borderId="0" xfId="0" applyNumberFormat="1" applyFont="1"/>
    <xf numFmtId="170" fontId="7" fillId="0" borderId="0" xfId="0" applyNumberFormat="1" applyFont="1"/>
    <xf numFmtId="3" fontId="7" fillId="0" borderId="0" xfId="0" applyNumberFormat="1" applyFont="1"/>
    <xf numFmtId="3" fontId="5" fillId="0" borderId="0" xfId="0" applyNumberFormat="1" applyFont="1" applyAlignment="1">
      <alignment horizontal="left"/>
    </xf>
    <xf numFmtId="3" fontId="5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164" fontId="7" fillId="0" borderId="0" xfId="0" applyNumberFormat="1" applyFont="1"/>
    <xf numFmtId="3" fontId="7" fillId="0" borderId="0" xfId="0" applyNumberFormat="1" applyFont="1" applyAlignment="1">
      <alignment horizontal="left"/>
    </xf>
    <xf numFmtId="1" fontId="11" fillId="0" borderId="0" xfId="0" applyNumberFormat="1" applyFont="1"/>
    <xf numFmtId="0" fontId="7" fillId="0" borderId="0" xfId="0" applyFont="1" applyAlignment="1">
      <alignment horizontal="left"/>
    </xf>
    <xf numFmtId="164" fontId="12" fillId="0" borderId="0" xfId="0" applyNumberFormat="1" applyFont="1"/>
    <xf numFmtId="164" fontId="7" fillId="0" borderId="0" xfId="0" applyNumberFormat="1" applyFont="1" applyAlignment="1">
      <alignment horizontal="left"/>
    </xf>
    <xf numFmtId="49" fontId="12" fillId="0" borderId="0" xfId="0" applyNumberFormat="1" applyFont="1" applyAlignment="1">
      <alignment horizontal="right"/>
    </xf>
    <xf numFmtId="0" fontId="12" fillId="0" borderId="0" xfId="0" applyFont="1" applyAlignment="1">
      <alignment horizontal="left"/>
    </xf>
    <xf numFmtId="164" fontId="5" fillId="0" borderId="0" xfId="0" applyNumberFormat="1" applyFont="1" applyAlignment="1">
      <alignment horizontal="right"/>
    </xf>
    <xf numFmtId="3" fontId="21" fillId="0" borderId="0" xfId="0" applyNumberFormat="1" applyFont="1"/>
    <xf numFmtId="49" fontId="13" fillId="0" borderId="0" xfId="0" applyNumberFormat="1" applyFont="1"/>
    <xf numFmtId="3" fontId="10" fillId="0" borderId="0" xfId="0" applyNumberFormat="1" applyFont="1" applyAlignment="1">
      <alignment horizontal="right"/>
    </xf>
    <xf numFmtId="3" fontId="26" fillId="0" borderId="0" xfId="0" applyNumberFormat="1" applyFont="1"/>
    <xf numFmtId="3" fontId="1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3" fontId="27" fillId="0" borderId="0" xfId="0" applyNumberFormat="1" applyFont="1"/>
    <xf numFmtId="49" fontId="17" fillId="0" borderId="0" xfId="0" applyNumberFormat="1" applyFont="1"/>
    <xf numFmtId="49" fontId="4" fillId="0" borderId="0" xfId="0" applyNumberFormat="1" applyFont="1" applyAlignment="1">
      <alignment horizontal="center"/>
    </xf>
    <xf numFmtId="0" fontId="3" fillId="14" borderId="16" xfId="0" applyFont="1" applyFill="1" applyBorder="1" applyAlignment="1">
      <alignment horizontal="right"/>
    </xf>
    <xf numFmtId="0" fontId="7" fillId="14" borderId="16" xfId="0" applyFont="1" applyFill="1" applyBorder="1"/>
    <xf numFmtId="49" fontId="12" fillId="14" borderId="16" xfId="0" applyNumberFormat="1" applyFont="1" applyFill="1" applyBorder="1"/>
    <xf numFmtId="49" fontId="12" fillId="14" borderId="0" xfId="0" applyNumberFormat="1" applyFont="1" applyFill="1" applyAlignment="1">
      <alignment horizontal="right" vertical="center"/>
    </xf>
    <xf numFmtId="49" fontId="23" fillId="14" borderId="0" xfId="0" applyNumberFormat="1" applyFont="1" applyFill="1" applyAlignment="1">
      <alignment vertical="center"/>
    </xf>
    <xf numFmtId="49" fontId="7" fillId="14" borderId="0" xfId="0" applyNumberFormat="1" applyFont="1" applyFill="1" applyAlignment="1">
      <alignment vertical="center"/>
    </xf>
    <xf numFmtId="0" fontId="7" fillId="14" borderId="0" xfId="0" applyFont="1" applyFill="1" applyAlignment="1">
      <alignment vertical="center"/>
    </xf>
    <xf numFmtId="0" fontId="14" fillId="14" borderId="0" xfId="0" applyFont="1" applyFill="1"/>
    <xf numFmtId="0" fontId="21" fillId="14" borderId="0" xfId="0" applyFont="1" applyFill="1"/>
    <xf numFmtId="0" fontId="14" fillId="14" borderId="0" xfId="0" applyFont="1" applyFill="1" applyAlignment="1">
      <alignment horizontal="left"/>
    </xf>
    <xf numFmtId="0" fontId="5" fillId="21" borderId="0" xfId="0" applyFont="1" applyFill="1"/>
    <xf numFmtId="0" fontId="0" fillId="0" borderId="0" xfId="0" applyAlignment="1">
      <alignment vertical="center"/>
    </xf>
    <xf numFmtId="0" fontId="0" fillId="0" borderId="31" xfId="0" applyBorder="1" applyAlignment="1">
      <alignment horizontal="right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vertical="center"/>
    </xf>
    <xf numFmtId="49" fontId="16" fillId="0" borderId="0" xfId="0" applyNumberFormat="1" applyFont="1" applyAlignment="1">
      <alignment vertical="center"/>
    </xf>
    <xf numFmtId="0" fontId="0" fillId="0" borderId="0" xfId="0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49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0" fontId="23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3" fillId="0" borderId="0" xfId="0" applyFont="1" applyAlignment="1" applyProtection="1">
      <alignment vertical="center"/>
      <protection hidden="1"/>
    </xf>
    <xf numFmtId="0" fontId="0" fillId="0" borderId="0" xfId="0" applyProtection="1">
      <protection hidden="1"/>
    </xf>
    <xf numFmtId="0" fontId="3" fillId="0" borderId="0" xfId="0" applyFont="1" applyProtection="1">
      <protection hidden="1"/>
    </xf>
    <xf numFmtId="0" fontId="20" fillId="21" borderId="0" xfId="0" applyFont="1" applyFill="1" applyAlignment="1">
      <alignment vertical="top"/>
    </xf>
    <xf numFmtId="0" fontId="3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20" fillId="0" borderId="0" xfId="0" applyFont="1" applyProtection="1">
      <protection hidden="1"/>
    </xf>
    <xf numFmtId="164" fontId="0" fillId="0" borderId="32" xfId="0" applyNumberFormat="1" applyBorder="1"/>
    <xf numFmtId="164" fontId="0" fillId="0" borderId="33" xfId="0" applyNumberFormat="1" applyBorder="1"/>
    <xf numFmtId="0" fontId="19" fillId="0" borderId="0" xfId="0" applyFont="1" applyAlignment="1" applyProtection="1">
      <alignment vertical="center"/>
      <protection hidden="1"/>
    </xf>
    <xf numFmtId="0" fontId="5" fillId="0" borderId="0" xfId="0" applyFont="1" applyAlignment="1">
      <alignment vertical="center"/>
    </xf>
    <xf numFmtId="0" fontId="10" fillId="0" borderId="0" xfId="0" applyFont="1"/>
    <xf numFmtId="0" fontId="0" fillId="0" borderId="22" xfId="0" applyBorder="1" applyAlignment="1">
      <alignment horizontal="right"/>
    </xf>
    <xf numFmtId="0" fontId="20" fillId="0" borderId="18" xfId="0" applyFont="1" applyBorder="1"/>
    <xf numFmtId="0" fontId="5" fillId="0" borderId="18" xfId="0" applyFont="1" applyBorder="1"/>
    <xf numFmtId="0" fontId="5" fillId="0" borderId="20" xfId="0" applyFont="1" applyBorder="1"/>
    <xf numFmtId="0" fontId="3" fillId="0" borderId="20" xfId="0" applyFont="1" applyBorder="1"/>
    <xf numFmtId="0" fontId="1" fillId="0" borderId="0" xfId="0" applyFont="1"/>
    <xf numFmtId="168" fontId="0" fillId="0" borderId="22" xfId="0" applyNumberFormat="1" applyBorder="1"/>
    <xf numFmtId="0" fontId="0" fillId="0" borderId="34" xfId="0" applyBorder="1"/>
    <xf numFmtId="168" fontId="5" fillId="0" borderId="0" xfId="0" applyNumberFormat="1" applyFont="1"/>
    <xf numFmtId="0" fontId="12" fillId="0" borderId="0" xfId="0" applyFont="1" applyAlignment="1">
      <alignment horizontal="center"/>
    </xf>
    <xf numFmtId="0" fontId="7" fillId="0" borderId="25" xfId="0" applyFont="1" applyBorder="1"/>
    <xf numFmtId="49" fontId="34" fillId="14" borderId="16" xfId="0" applyNumberFormat="1" applyFont="1" applyFill="1" applyBorder="1" applyAlignment="1">
      <alignment vertical="center"/>
    </xf>
    <xf numFmtId="0" fontId="35" fillId="14" borderId="0" xfId="0" applyFont="1" applyFill="1"/>
    <xf numFmtId="164" fontId="21" fillId="0" borderId="0" xfId="0" applyNumberFormat="1" applyFont="1"/>
    <xf numFmtId="49" fontId="20" fillId="0" borderId="0" xfId="0" applyNumberFormat="1" applyFont="1"/>
    <xf numFmtId="49" fontId="15" fillId="0" borderId="0" xfId="0" applyNumberFormat="1" applyFont="1"/>
    <xf numFmtId="168" fontId="7" fillId="0" borderId="0" xfId="0" applyNumberFormat="1" applyFont="1"/>
    <xf numFmtId="49" fontId="7" fillId="14" borderId="0" xfId="0" applyNumberFormat="1" applyFont="1" applyFill="1" applyAlignment="1">
      <alignment horizontal="right" vertical="center"/>
    </xf>
    <xf numFmtId="49" fontId="12" fillId="14" borderId="0" xfId="0" applyNumberFormat="1" applyFont="1" applyFill="1"/>
    <xf numFmtId="0" fontId="7" fillId="14" borderId="0" xfId="0" applyFont="1" applyFill="1"/>
    <xf numFmtId="49" fontId="11" fillId="14" borderId="0" xfId="0" applyNumberFormat="1" applyFont="1" applyFill="1"/>
    <xf numFmtId="49" fontId="12" fillId="0" borderId="0" xfId="0" applyNumberFormat="1" applyFont="1" applyAlignment="1">
      <alignment vertical="center"/>
    </xf>
    <xf numFmtId="49" fontId="3" fillId="0" borderId="0" xfId="0" applyNumberFormat="1" applyFont="1" applyAlignment="1">
      <alignment horizontal="center"/>
    </xf>
    <xf numFmtId="49" fontId="26" fillId="0" borderId="0" xfId="0" applyNumberFormat="1" applyFont="1"/>
    <xf numFmtId="3" fontId="0" fillId="0" borderId="32" xfId="0" applyNumberFormat="1" applyBorder="1"/>
    <xf numFmtId="168" fontId="20" fillId="0" borderId="0" xfId="0" applyNumberFormat="1" applyFont="1"/>
    <xf numFmtId="3" fontId="20" fillId="0" borderId="0" xfId="0" applyNumberFormat="1" applyFont="1"/>
    <xf numFmtId="3" fontId="31" fillId="0" borderId="0" xfId="0" applyNumberFormat="1" applyFont="1"/>
    <xf numFmtId="0" fontId="36" fillId="0" borderId="0" xfId="0" applyFont="1"/>
    <xf numFmtId="3" fontId="3" fillId="0" borderId="0" xfId="91" quotePrefix="1" applyNumberFormat="1" applyFont="1"/>
    <xf numFmtId="0" fontId="37" fillId="0" borderId="0" xfId="0" applyFont="1"/>
    <xf numFmtId="3" fontId="0" fillId="24" borderId="10" xfId="0" applyNumberFormat="1" applyFill="1" applyBorder="1" applyProtection="1">
      <protection locked="0"/>
    </xf>
    <xf numFmtId="0" fontId="5" fillId="0" borderId="0" xfId="0" applyFont="1" applyAlignment="1">
      <alignment horizontal="right" vertical="center"/>
    </xf>
    <xf numFmtId="3" fontId="0" fillId="24" borderId="10" xfId="0" applyNumberFormat="1" applyFill="1" applyBorder="1" applyAlignment="1" applyProtection="1">
      <alignment vertical="center"/>
      <protection locked="0"/>
    </xf>
    <xf numFmtId="164" fontId="5" fillId="24" borderId="10" xfId="0" applyNumberFormat="1" applyFont="1" applyFill="1" applyBorder="1" applyAlignment="1" applyProtection="1">
      <alignment vertical="center"/>
      <protection locked="0"/>
    </xf>
    <xf numFmtId="164" fontId="0" fillId="24" borderId="10" xfId="0" applyNumberFormat="1" applyFill="1" applyBorder="1" applyProtection="1">
      <protection locked="0"/>
    </xf>
    <xf numFmtId="168" fontId="0" fillId="24" borderId="10" xfId="0" applyNumberFormat="1" applyFill="1" applyBorder="1" applyProtection="1">
      <protection locked="0"/>
    </xf>
    <xf numFmtId="164" fontId="5" fillId="0" borderId="0" xfId="0" quotePrefix="1" applyNumberFormat="1" applyFont="1"/>
    <xf numFmtId="168" fontId="5" fillId="0" borderId="0" xfId="0" quotePrefix="1" applyNumberFormat="1" applyFont="1"/>
    <xf numFmtId="3" fontId="3" fillId="24" borderId="10" xfId="0" applyNumberFormat="1" applyFont="1" applyFill="1" applyBorder="1" applyProtection="1">
      <protection locked="0"/>
    </xf>
    <xf numFmtId="3" fontId="5" fillId="25" borderId="0" xfId="0" applyNumberFormat="1" applyFont="1" applyFill="1"/>
    <xf numFmtId="3" fontId="5" fillId="24" borderId="10" xfId="0" applyNumberFormat="1" applyFont="1" applyFill="1" applyBorder="1" applyProtection="1">
      <protection locked="0"/>
    </xf>
    <xf numFmtId="3" fontId="5" fillId="24" borderId="10" xfId="0" applyNumberFormat="1" applyFont="1" applyFill="1" applyBorder="1" applyAlignment="1" applyProtection="1">
      <alignment vertical="center"/>
      <protection locked="0"/>
    </xf>
    <xf numFmtId="171" fontId="0" fillId="0" borderId="0" xfId="30" applyNumberFormat="1" applyFont="1"/>
    <xf numFmtId="0" fontId="0" fillId="26" borderId="0" xfId="0" applyFill="1"/>
    <xf numFmtId="3" fontId="0" fillId="24" borderId="35" xfId="0" applyNumberFormat="1" applyFill="1" applyBorder="1" applyProtection="1">
      <protection locked="0"/>
    </xf>
    <xf numFmtId="165" fontId="0" fillId="24" borderId="10" xfId="0" applyNumberFormat="1" applyFill="1" applyBorder="1" applyProtection="1">
      <protection locked="0"/>
    </xf>
    <xf numFmtId="0" fontId="19" fillId="0" borderId="0" xfId="0" applyFont="1" applyAlignment="1">
      <alignment horizontal="left" vertical="center"/>
    </xf>
    <xf numFmtId="168" fontId="15" fillId="0" borderId="0" xfId="0" applyNumberFormat="1" applyFont="1"/>
    <xf numFmtId="168" fontId="12" fillId="0" borderId="0" xfId="0" applyNumberFormat="1" applyFont="1"/>
    <xf numFmtId="0" fontId="6" fillId="0" borderId="36" xfId="0" applyFont="1" applyBorder="1"/>
    <xf numFmtId="0" fontId="0" fillId="0" borderId="31" xfId="0" applyBorder="1"/>
    <xf numFmtId="164" fontId="5" fillId="25" borderId="0" xfId="0" applyNumberFormat="1" applyFont="1" applyFill="1"/>
    <xf numFmtId="164" fontId="5" fillId="27" borderId="0" xfId="0" applyNumberFormat="1" applyFont="1" applyFill="1"/>
    <xf numFmtId="1" fontId="5" fillId="0" borderId="0" xfId="0" applyNumberFormat="1" applyFont="1" applyProtection="1">
      <protection locked="0"/>
    </xf>
    <xf numFmtId="0" fontId="3" fillId="0" borderId="0" xfId="0" applyFont="1" applyAlignment="1">
      <alignment horizontal="center" vertical="center"/>
    </xf>
    <xf numFmtId="169" fontId="5" fillId="0" borderId="0" xfId="0" applyNumberFormat="1" applyFont="1"/>
    <xf numFmtId="0" fontId="5" fillId="25" borderId="0" xfId="0" applyFont="1" applyFill="1"/>
    <xf numFmtId="168" fontId="3" fillId="0" borderId="0" xfId="0" applyNumberFormat="1" applyFont="1"/>
    <xf numFmtId="0" fontId="3" fillId="27" borderId="0" xfId="0" applyFont="1" applyFill="1"/>
    <xf numFmtId="168" fontId="5" fillId="0" borderId="0" xfId="91" quotePrefix="1" applyNumberFormat="1"/>
    <xf numFmtId="168" fontId="5" fillId="0" borderId="0" xfId="104" quotePrefix="1" applyNumberFormat="1"/>
    <xf numFmtId="0" fontId="5" fillId="25" borderId="0" xfId="91" quotePrefix="1" applyFill="1"/>
    <xf numFmtId="3" fontId="5" fillId="25" borderId="0" xfId="91" quotePrefix="1" applyNumberFormat="1" applyFill="1"/>
    <xf numFmtId="3" fontId="10" fillId="0" borderId="0" xfId="0" applyNumberFormat="1" applyFont="1"/>
    <xf numFmtId="3" fontId="5" fillId="0" borderId="0" xfId="91" quotePrefix="1" applyNumberFormat="1"/>
    <xf numFmtId="0" fontId="5" fillId="28" borderId="0" xfId="0" applyFont="1" applyFill="1"/>
    <xf numFmtId="3" fontId="5" fillId="28" borderId="0" xfId="0" applyNumberFormat="1" applyFont="1" applyFill="1"/>
    <xf numFmtId="3" fontId="3" fillId="27" borderId="0" xfId="0" applyNumberFormat="1" applyFont="1" applyFill="1"/>
    <xf numFmtId="0" fontId="5" fillId="24" borderId="0" xfId="0" applyFont="1" applyFill="1"/>
    <xf numFmtId="0" fontId="3" fillId="25" borderId="0" xfId="110" applyFont="1" applyFill="1"/>
    <xf numFmtId="0" fontId="5" fillId="25" borderId="0" xfId="110" applyFill="1"/>
    <xf numFmtId="168" fontId="37" fillId="0" borderId="0" xfId="0" applyNumberFormat="1" applyFont="1"/>
    <xf numFmtId="3" fontId="37" fillId="0" borderId="0" xfId="0" applyNumberFormat="1" applyFont="1"/>
    <xf numFmtId="0" fontId="37" fillId="25" borderId="0" xfId="0" applyFont="1" applyFill="1"/>
    <xf numFmtId="3" fontId="37" fillId="25" borderId="0" xfId="0" applyNumberFormat="1" applyFont="1" applyFill="1"/>
    <xf numFmtId="178" fontId="5" fillId="0" borderId="0" xfId="145" applyNumberFormat="1" applyFont="1" applyFill="1" applyBorder="1" applyProtection="1"/>
    <xf numFmtId="168" fontId="5" fillId="0" borderId="0" xfId="0" quotePrefix="1" applyNumberFormat="1" applyFont="1" applyAlignment="1">
      <alignment vertical="center"/>
    </xf>
    <xf numFmtId="0" fontId="30" fillId="27" borderId="0" xfId="0" applyFont="1" applyFill="1"/>
    <xf numFmtId="0" fontId="76" fillId="0" borderId="0" xfId="0" applyFont="1"/>
    <xf numFmtId="0" fontId="74" fillId="0" borderId="0" xfId="114"/>
    <xf numFmtId="167" fontId="5" fillId="0" borderId="0" xfId="0" quotePrefix="1" applyNumberFormat="1" applyFont="1" applyAlignment="1">
      <alignment vertical="center"/>
    </xf>
    <xf numFmtId="165" fontId="0" fillId="0" borderId="0" xfId="0" quotePrefix="1" applyNumberFormat="1" applyAlignment="1">
      <alignment vertical="center"/>
    </xf>
    <xf numFmtId="0" fontId="13" fillId="0" borderId="0" xfId="0" applyFont="1"/>
    <xf numFmtId="0" fontId="4" fillId="0" borderId="0" xfId="0" applyFont="1" applyAlignment="1">
      <alignment horizontal="left" vertical="center"/>
    </xf>
    <xf numFmtId="0" fontId="5" fillId="29" borderId="0" xfId="0" applyFont="1" applyFill="1"/>
    <xf numFmtId="165" fontId="0" fillId="29" borderId="0" xfId="0" quotePrefix="1" applyNumberFormat="1" applyFill="1" applyAlignment="1">
      <alignment vertical="center"/>
    </xf>
    <xf numFmtId="165" fontId="0" fillId="24" borderId="0" xfId="0" quotePrefix="1" applyNumberFormat="1" applyFill="1" applyAlignment="1">
      <alignment vertical="center"/>
    </xf>
    <xf numFmtId="0" fontId="5" fillId="30" borderId="0" xfId="0" applyFont="1" applyFill="1"/>
    <xf numFmtId="165" fontId="19" fillId="29" borderId="0" xfId="0" quotePrefix="1" applyNumberFormat="1" applyFont="1" applyFill="1" applyAlignment="1">
      <alignment vertical="center"/>
    </xf>
    <xf numFmtId="165" fontId="5" fillId="0" borderId="0" xfId="0" quotePrefix="1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171" fontId="0" fillId="0" borderId="0" xfId="31" applyNumberFormat="1" applyFont="1"/>
    <xf numFmtId="171" fontId="0" fillId="0" borderId="0" xfId="31" applyNumberFormat="1" applyFont="1" applyAlignment="1">
      <alignment vertical="center"/>
    </xf>
    <xf numFmtId="0" fontId="12" fillId="0" borderId="0" xfId="0" applyFont="1" applyAlignment="1">
      <alignment horizontal="left" vertical="center"/>
    </xf>
    <xf numFmtId="165" fontId="0" fillId="0" borderId="0" xfId="0" applyNumberFormat="1"/>
    <xf numFmtId="0" fontId="37" fillId="29" borderId="0" xfId="0" applyFont="1" applyFill="1"/>
    <xf numFmtId="167" fontId="3" fillId="29" borderId="0" xfId="145" applyNumberFormat="1" applyFont="1" applyFill="1"/>
    <xf numFmtId="167" fontId="0" fillId="0" borderId="0" xfId="145" applyNumberFormat="1" applyFont="1"/>
    <xf numFmtId="168" fontId="5" fillId="0" borderId="0" xfId="38" quotePrefix="1" applyNumberFormat="1" applyFont="1"/>
    <xf numFmtId="171" fontId="5" fillId="0" borderId="0" xfId="31" quotePrefix="1" applyNumberFormat="1" applyFont="1"/>
    <xf numFmtId="168" fontId="5" fillId="0" borderId="0" xfId="115" quotePrefix="1" applyNumberFormat="1"/>
    <xf numFmtId="167" fontId="0" fillId="0" borderId="0" xfId="0" applyNumberFormat="1"/>
    <xf numFmtId="0" fontId="5" fillId="0" borderId="0" xfId="0" applyFont="1" applyAlignment="1">
      <alignment horizontal="left" indent="1"/>
    </xf>
    <xf numFmtId="165" fontId="10" fillId="0" borderId="0" xfId="145" applyNumberFormat="1" applyFont="1"/>
    <xf numFmtId="165" fontId="0" fillId="0" borderId="0" xfId="31" applyNumberFormat="1" applyFont="1"/>
    <xf numFmtId="165" fontId="0" fillId="0" borderId="0" xfId="31" applyNumberFormat="1" applyFont="1" applyAlignment="1">
      <alignment vertical="center"/>
    </xf>
    <xf numFmtId="165" fontId="10" fillId="0" borderId="0" xfId="31" applyNumberFormat="1" applyFont="1" applyAlignment="1">
      <alignment vertical="center"/>
    </xf>
    <xf numFmtId="165" fontId="5" fillId="0" borderId="0" xfId="31" quotePrefix="1" applyNumberFormat="1" applyFont="1"/>
    <xf numFmtId="0" fontId="5" fillId="0" borderId="0" xfId="0" applyFont="1" applyAlignment="1">
      <alignment horizontal="left" vertical="center"/>
    </xf>
    <xf numFmtId="3" fontId="5" fillId="0" borderId="0" xfId="31" quotePrefix="1" applyNumberFormat="1" applyFont="1"/>
    <xf numFmtId="168" fontId="5" fillId="0" borderId="0" xfId="121" quotePrefix="1" applyNumberFormat="1"/>
    <xf numFmtId="167" fontId="5" fillId="0" borderId="0" xfId="31" quotePrefix="1" applyNumberFormat="1" applyFont="1"/>
    <xf numFmtId="168" fontId="5" fillId="0" borderId="0" xfId="31" quotePrefix="1" applyNumberFormat="1" applyFont="1"/>
    <xf numFmtId="0" fontId="7" fillId="0" borderId="0" xfId="0" applyFont="1" applyAlignment="1">
      <alignment horizontal="left" vertical="center" indent="1"/>
    </xf>
    <xf numFmtId="167" fontId="37" fillId="0" borderId="0" xfId="0" applyNumberFormat="1" applyFont="1"/>
    <xf numFmtId="0" fontId="19" fillId="0" borderId="0" xfId="0" applyFont="1"/>
    <xf numFmtId="0" fontId="5" fillId="29" borderId="0" xfId="0" applyFont="1" applyFill="1" applyAlignment="1">
      <alignment horizontal="left" vertical="center"/>
    </xf>
    <xf numFmtId="0" fontId="5" fillId="0" borderId="0" xfId="0" applyFont="1" applyAlignment="1">
      <alignment horizontal="left" vertical="center" indent="1"/>
    </xf>
    <xf numFmtId="0" fontId="32" fillId="0" borderId="0" xfId="0" applyFont="1" applyAlignment="1" applyProtection="1">
      <alignment horizontal="left" vertical="center"/>
      <protection hidden="1"/>
    </xf>
    <xf numFmtId="0" fontId="3" fillId="0" borderId="0" xfId="0" applyFont="1" applyAlignment="1">
      <alignment horizontal="left" vertical="center" indent="1"/>
    </xf>
    <xf numFmtId="167" fontId="5" fillId="0" borderId="0" xfId="0" applyNumberFormat="1" applyFont="1"/>
    <xf numFmtId="0" fontId="5" fillId="31" borderId="0" xfId="0" applyFont="1" applyFill="1" applyAlignment="1">
      <alignment horizontal="left" vertical="center"/>
    </xf>
    <xf numFmtId="0" fontId="19" fillId="0" borderId="23" xfId="0" applyFont="1" applyBorder="1" applyAlignment="1">
      <alignment horizontal="left" vertical="center"/>
    </xf>
    <xf numFmtId="37" fontId="5" fillId="0" borderId="0" xfId="31" applyNumberFormat="1" applyFont="1" applyFill="1" applyAlignment="1">
      <alignment horizontal="center" vertical="center"/>
    </xf>
    <xf numFmtId="168" fontId="5" fillId="0" borderId="0" xfId="0" applyNumberFormat="1" applyFont="1" applyAlignment="1">
      <alignment horizontal="center" vertical="center"/>
    </xf>
    <xf numFmtId="167" fontId="5" fillId="0" borderId="0" xfId="31" quotePrefix="1" applyNumberFormat="1" applyFont="1" applyAlignment="1">
      <alignment horizontal="center" vertical="center"/>
    </xf>
    <xf numFmtId="3" fontId="5" fillId="0" borderId="0" xfId="0" applyNumberFormat="1" applyFont="1" applyAlignment="1">
      <alignment horizontal="center" vertical="center"/>
    </xf>
    <xf numFmtId="168" fontId="5" fillId="0" borderId="0" xfId="31" quotePrefix="1" applyNumberFormat="1" applyFont="1" applyAlignment="1">
      <alignment horizontal="center" vertical="center"/>
    </xf>
    <xf numFmtId="171" fontId="5" fillId="0" borderId="0" xfId="31" applyNumberFormat="1" applyFont="1" applyFill="1" applyAlignment="1">
      <alignment horizontal="center" vertical="center"/>
    </xf>
    <xf numFmtId="167" fontId="5" fillId="0" borderId="0" xfId="0" applyNumberFormat="1" applyFont="1" applyAlignment="1">
      <alignment horizontal="center" vertical="center"/>
    </xf>
    <xf numFmtId="167" fontId="3" fillId="0" borderId="0" xfId="122" applyNumberFormat="1" applyFont="1" applyAlignment="1">
      <alignment horizontal="center" vertical="center"/>
    </xf>
    <xf numFmtId="0" fontId="5" fillId="0" borderId="10" xfId="0" applyFont="1" applyBorder="1"/>
    <xf numFmtId="0" fontId="3" fillId="28" borderId="0" xfId="0" applyFont="1" applyFill="1"/>
    <xf numFmtId="3" fontId="3" fillId="28" borderId="0" xfId="0" quotePrefix="1" applyNumberFormat="1" applyFont="1" applyFill="1" applyAlignment="1">
      <alignment vertical="center"/>
    </xf>
    <xf numFmtId="0" fontId="77" fillId="28" borderId="0" xfId="114" applyFont="1" applyFill="1"/>
    <xf numFmtId="168" fontId="0" fillId="0" borderId="0" xfId="0" quotePrefix="1" applyNumberFormat="1"/>
    <xf numFmtId="3" fontId="0" fillId="0" borderId="0" xfId="0" quotePrefix="1" applyNumberFormat="1"/>
    <xf numFmtId="168" fontId="10" fillId="0" borderId="0" xfId="0" applyNumberFormat="1" applyFont="1"/>
    <xf numFmtId="168" fontId="0" fillId="0" borderId="0" xfId="0" quotePrefix="1" applyNumberFormat="1" applyAlignment="1">
      <alignment vertical="center"/>
    </xf>
    <xf numFmtId="167" fontId="0" fillId="0" borderId="0" xfId="0" quotePrefix="1" applyNumberFormat="1" applyAlignment="1">
      <alignment vertical="center"/>
    </xf>
    <xf numFmtId="165" fontId="3" fillId="0" borderId="0" xfId="0" quotePrefix="1" applyNumberFormat="1" applyFont="1" applyAlignment="1">
      <alignment vertical="center"/>
    </xf>
    <xf numFmtId="167" fontId="3" fillId="0" borderId="0" xfId="0" quotePrefix="1" applyNumberFormat="1" applyFont="1" applyAlignment="1">
      <alignment vertical="center"/>
    </xf>
    <xf numFmtId="165" fontId="5" fillId="0" borderId="0" xfId="147" quotePrefix="1" applyNumberFormat="1" applyFont="1" applyFill="1" applyAlignment="1">
      <alignment vertical="center"/>
    </xf>
    <xf numFmtId="167" fontId="3" fillId="0" borderId="0" xfId="145" applyNumberFormat="1" applyFont="1" applyFill="1"/>
    <xf numFmtId="0" fontId="20" fillId="0" borderId="0" xfId="0" quotePrefix="1" applyFont="1"/>
    <xf numFmtId="0" fontId="5" fillId="0" borderId="22" xfId="0" applyFont="1" applyBorder="1"/>
    <xf numFmtId="49" fontId="23" fillId="32" borderId="0" xfId="0" applyNumberFormat="1" applyFont="1" applyFill="1" applyAlignment="1">
      <alignment vertical="center"/>
    </xf>
    <xf numFmtId="0" fontId="23" fillId="32" borderId="0" xfId="0" applyFont="1" applyFill="1"/>
    <xf numFmtId="0" fontId="23" fillId="32" borderId="0" xfId="0" applyFont="1" applyFill="1" applyAlignment="1">
      <alignment horizontal="right"/>
    </xf>
    <xf numFmtId="49" fontId="23" fillId="32" borderId="0" xfId="0" applyNumberFormat="1" applyFont="1" applyFill="1"/>
    <xf numFmtId="0" fontId="28" fillId="32" borderId="0" xfId="0" applyFont="1" applyFill="1"/>
    <xf numFmtId="0" fontId="0" fillId="33" borderId="0" xfId="0" applyFill="1"/>
    <xf numFmtId="0" fontId="78" fillId="33" borderId="0" xfId="0" applyFont="1" applyFill="1"/>
    <xf numFmtId="0" fontId="2" fillId="33" borderId="0" xfId="0" applyFont="1" applyFill="1" applyAlignment="1">
      <alignment horizontal="center"/>
    </xf>
    <xf numFmtId="0" fontId="9" fillId="33" borderId="0" xfId="0" applyFont="1" applyFill="1" applyAlignment="1">
      <alignment horizontal="center"/>
    </xf>
    <xf numFmtId="0" fontId="79" fillId="33" borderId="0" xfId="0" applyFont="1" applyFill="1" applyAlignment="1">
      <alignment vertical="center"/>
    </xf>
    <xf numFmtId="0" fontId="80" fillId="33" borderId="0" xfId="0" applyFont="1" applyFill="1" applyAlignment="1">
      <alignment horizontal="center" vertical="center"/>
    </xf>
    <xf numFmtId="0" fontId="80" fillId="33" borderId="0" xfId="0" applyFont="1" applyFill="1" applyAlignment="1">
      <alignment horizontal="left" vertical="center"/>
    </xf>
    <xf numFmtId="0" fontId="79" fillId="33" borderId="0" xfId="0" applyFont="1" applyFill="1" applyAlignment="1">
      <alignment horizontal="left" vertical="center"/>
    </xf>
    <xf numFmtId="0" fontId="79" fillId="33" borderId="0" xfId="0" applyFont="1" applyFill="1"/>
    <xf numFmtId="49" fontId="81" fillId="33" borderId="0" xfId="0" applyNumberFormat="1" applyFont="1" applyFill="1" applyAlignment="1">
      <alignment horizontal="right" vertical="center"/>
    </xf>
    <xf numFmtId="0" fontId="82" fillId="33" borderId="0" xfId="0" applyFont="1" applyFill="1" applyAlignment="1">
      <alignment horizontal="left" vertical="center"/>
    </xf>
    <xf numFmtId="0" fontId="79" fillId="33" borderId="0" xfId="0" applyFont="1" applyFill="1" applyAlignment="1">
      <alignment horizontal="left"/>
    </xf>
    <xf numFmtId="169" fontId="3" fillId="0" borderId="0" xfId="0" applyNumberFormat="1" applyFont="1"/>
    <xf numFmtId="170" fontId="3" fillId="0" borderId="0" xfId="0" applyNumberFormat="1" applyFont="1"/>
    <xf numFmtId="170" fontId="5" fillId="0" borderId="0" xfId="0" applyNumberFormat="1" applyFont="1"/>
    <xf numFmtId="164" fontId="5" fillId="34" borderId="0" xfId="0" quotePrefix="1" applyNumberFormat="1" applyFont="1" applyFill="1"/>
    <xf numFmtId="167" fontId="5" fillId="0" borderId="0" xfId="0" quotePrefix="1" applyNumberFormat="1" applyFont="1"/>
    <xf numFmtId="3" fontId="5" fillId="0" borderId="0" xfId="0" quotePrefix="1" applyNumberFormat="1" applyFont="1"/>
    <xf numFmtId="0" fontId="5" fillId="32" borderId="27" xfId="0" applyFont="1" applyFill="1" applyBorder="1"/>
    <xf numFmtId="0" fontId="5" fillId="32" borderId="16" xfId="0" applyFont="1" applyFill="1" applyBorder="1"/>
    <xf numFmtId="0" fontId="3" fillId="32" borderId="16" xfId="0" applyFont="1" applyFill="1" applyBorder="1" applyAlignment="1">
      <alignment horizontal="center"/>
    </xf>
    <xf numFmtId="0" fontId="3" fillId="32" borderId="16" xfId="0" applyFont="1" applyFill="1" applyBorder="1" applyAlignment="1">
      <alignment horizontal="center" vertical="center"/>
    </xf>
    <xf numFmtId="0" fontId="5" fillId="32" borderId="28" xfId="0" applyFont="1" applyFill="1" applyBorder="1"/>
    <xf numFmtId="0" fontId="5" fillId="32" borderId="26" xfId="0" applyFont="1" applyFill="1" applyBorder="1"/>
    <xf numFmtId="0" fontId="5" fillId="32" borderId="0" xfId="0" applyFont="1" applyFill="1"/>
    <xf numFmtId="0" fontId="3" fillId="32" borderId="0" xfId="0" applyFont="1" applyFill="1" applyAlignment="1">
      <alignment horizontal="center"/>
    </xf>
    <xf numFmtId="0" fontId="5" fillId="32" borderId="0" xfId="0" applyFont="1" applyFill="1" applyAlignment="1">
      <alignment horizontal="center" vertical="center"/>
    </xf>
    <xf numFmtId="0" fontId="5" fillId="32" borderId="25" xfId="0" applyFont="1" applyFill="1" applyBorder="1"/>
    <xf numFmtId="0" fontId="5" fillId="32" borderId="29" xfId="0" applyFont="1" applyFill="1" applyBorder="1"/>
    <xf numFmtId="0" fontId="5" fillId="32" borderId="17" xfId="0" applyFont="1" applyFill="1" applyBorder="1"/>
    <xf numFmtId="0" fontId="5" fillId="32" borderId="17" xfId="0" applyFont="1" applyFill="1" applyBorder="1" applyAlignment="1">
      <alignment horizontal="center"/>
    </xf>
    <xf numFmtId="0" fontId="5" fillId="32" borderId="17" xfId="0" applyFont="1" applyFill="1" applyBorder="1" applyAlignment="1">
      <alignment horizontal="center" vertical="center"/>
    </xf>
    <xf numFmtId="0" fontId="5" fillId="32" borderId="30" xfId="0" applyFont="1" applyFill="1" applyBorder="1"/>
    <xf numFmtId="0" fontId="0" fillId="0" borderId="36" xfId="0" applyBorder="1"/>
    <xf numFmtId="0" fontId="68" fillId="0" borderId="0" xfId="0" applyFont="1"/>
    <xf numFmtId="3" fontId="3" fillId="0" borderId="0" xfId="0" applyNumberFormat="1" applyFont="1" applyAlignment="1">
      <alignment horizontal="center" vertical="center"/>
    </xf>
    <xf numFmtId="0" fontId="79" fillId="0" borderId="0" xfId="0" applyFont="1" applyAlignment="1">
      <alignment vertical="center"/>
    </xf>
    <xf numFmtId="0" fontId="79" fillId="0" borderId="0" xfId="0" applyFont="1" applyAlignment="1">
      <alignment horizontal="right" vertical="center"/>
    </xf>
    <xf numFmtId="3" fontId="79" fillId="0" borderId="0" xfId="0" applyNumberFormat="1" applyFont="1" applyAlignment="1">
      <alignment vertical="center"/>
    </xf>
    <xf numFmtId="0" fontId="79" fillId="0" borderId="0" xfId="0" applyFont="1"/>
    <xf numFmtId="0" fontId="5" fillId="0" borderId="0" xfId="0" quotePrefix="1" applyFont="1"/>
    <xf numFmtId="0" fontId="83" fillId="0" borderId="0" xfId="0" applyFont="1"/>
    <xf numFmtId="0" fontId="81" fillId="0" borderId="0" xfId="0" applyFont="1" applyAlignment="1">
      <alignment horizontal="right"/>
    </xf>
    <xf numFmtId="0" fontId="5" fillId="35" borderId="0" xfId="0" applyFont="1" applyFill="1"/>
    <xf numFmtId="164" fontId="5" fillId="35" borderId="0" xfId="0" quotePrefix="1" applyNumberFormat="1" applyFont="1" applyFill="1"/>
    <xf numFmtId="3" fontId="5" fillId="35" borderId="0" xfId="0" applyNumberFormat="1" applyFont="1" applyFill="1"/>
    <xf numFmtId="168" fontId="5" fillId="35" borderId="0" xfId="0" applyNumberFormat="1" applyFont="1" applyFill="1"/>
    <xf numFmtId="3" fontId="5" fillId="35" borderId="0" xfId="91" quotePrefix="1" applyNumberFormat="1" applyFill="1"/>
    <xf numFmtId="4" fontId="5" fillId="0" borderId="0" xfId="0" applyNumberFormat="1" applyFont="1"/>
    <xf numFmtId="168" fontId="5" fillId="35" borderId="0" xfId="0" quotePrefix="1" applyNumberFormat="1" applyFont="1" applyFill="1" applyAlignment="1">
      <alignment vertical="center"/>
    </xf>
    <xf numFmtId="165" fontId="5" fillId="35" borderId="0" xfId="0" quotePrefix="1" applyNumberFormat="1" applyFont="1" applyFill="1" applyAlignment="1">
      <alignment vertical="center"/>
    </xf>
    <xf numFmtId="165" fontId="0" fillId="35" borderId="0" xfId="0" quotePrefix="1" applyNumberFormat="1" applyFill="1" applyAlignment="1">
      <alignment vertical="center"/>
    </xf>
    <xf numFmtId="168" fontId="69" fillId="35" borderId="0" xfId="145" applyNumberFormat="1" applyFont="1" applyFill="1"/>
    <xf numFmtId="0" fontId="32" fillId="36" borderId="0" xfId="0" applyFont="1" applyFill="1" applyAlignment="1" applyProtection="1">
      <alignment horizontal="left" vertical="center"/>
      <protection hidden="1"/>
    </xf>
    <xf numFmtId="0" fontId="19" fillId="36" borderId="0" xfId="0" applyFont="1" applyFill="1"/>
    <xf numFmtId="0" fontId="5" fillId="36" borderId="0" xfId="0" applyFont="1" applyFill="1" applyAlignment="1">
      <alignment horizontal="left" vertical="center"/>
    </xf>
    <xf numFmtId="164" fontId="5" fillId="35" borderId="0" xfId="0" applyNumberFormat="1" applyFont="1" applyFill="1"/>
    <xf numFmtId="164" fontId="10" fillId="35" borderId="0" xfId="0" applyNumberFormat="1" applyFont="1" applyFill="1"/>
    <xf numFmtId="0" fontId="3" fillId="35" borderId="0" xfId="0" applyFont="1" applyFill="1" applyAlignment="1">
      <alignment horizontal="left" vertical="center"/>
    </xf>
    <xf numFmtId="0" fontId="0" fillId="35" borderId="0" xfId="0" applyFill="1"/>
    <xf numFmtId="0" fontId="5" fillId="35" borderId="0" xfId="0" applyFont="1" applyFill="1" applyAlignment="1">
      <alignment horizontal="left" vertical="center"/>
    </xf>
    <xf numFmtId="0" fontId="5" fillId="35" borderId="0" xfId="0" applyFont="1" applyFill="1" applyAlignment="1">
      <alignment horizontal="left" vertical="center" indent="1"/>
    </xf>
    <xf numFmtId="3" fontId="0" fillId="35" borderId="0" xfId="0" applyNumberFormat="1" applyFill="1"/>
    <xf numFmtId="3" fontId="0" fillId="24" borderId="37" xfId="0" applyNumberFormat="1" applyFill="1" applyBorder="1" applyProtection="1">
      <protection locked="0"/>
    </xf>
    <xf numFmtId="0" fontId="0" fillId="0" borderId="0" xfId="0" applyAlignment="1">
      <alignment horizontal="center" vertical="center"/>
    </xf>
    <xf numFmtId="167" fontId="5" fillId="35" borderId="0" xfId="31" quotePrefix="1" applyNumberFormat="1" applyFont="1" applyFill="1" applyAlignment="1">
      <alignment horizontal="center" vertical="center"/>
    </xf>
    <xf numFmtId="168" fontId="5" fillId="35" borderId="0" xfId="0" applyNumberFormat="1" applyFont="1" applyFill="1" applyAlignment="1">
      <alignment horizontal="center" vertical="center"/>
    </xf>
    <xf numFmtId="37" fontId="5" fillId="35" borderId="0" xfId="31" quotePrefix="1" applyNumberFormat="1" applyFont="1" applyFill="1" applyAlignment="1">
      <alignment horizontal="center" vertical="center"/>
    </xf>
    <xf numFmtId="0" fontId="20" fillId="33" borderId="0" xfId="0" applyFont="1" applyFill="1"/>
    <xf numFmtId="0" fontId="0" fillId="33" borderId="0" xfId="0" applyFill="1" applyAlignment="1">
      <alignment horizontal="right"/>
    </xf>
    <xf numFmtId="0" fontId="82" fillId="33" borderId="0" xfId="0" applyFont="1" applyFill="1" applyAlignment="1">
      <alignment vertical="center"/>
    </xf>
    <xf numFmtId="3" fontId="0" fillId="0" borderId="0" xfId="0" applyNumberFormat="1" applyAlignment="1">
      <alignment vertical="center"/>
    </xf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3" fillId="0" borderId="39" xfId="0" applyFont="1" applyBorder="1"/>
    <xf numFmtId="0" fontId="5" fillId="0" borderId="19" xfId="0" applyFont="1" applyBorder="1"/>
    <xf numFmtId="0" fontId="6" fillId="0" borderId="39" xfId="0" applyFont="1" applyBorder="1"/>
    <xf numFmtId="0" fontId="5" fillId="0" borderId="39" xfId="0" applyFont="1" applyBorder="1"/>
    <xf numFmtId="0" fontId="5" fillId="0" borderId="40" xfId="0" applyFont="1" applyBorder="1"/>
    <xf numFmtId="49" fontId="81" fillId="0" borderId="0" xfId="0" applyNumberFormat="1" applyFont="1" applyAlignment="1">
      <alignment horizontal="right" vertical="center"/>
    </xf>
    <xf numFmtId="0" fontId="82" fillId="0" borderId="0" xfId="0" applyFont="1" applyAlignment="1">
      <alignment vertical="center"/>
    </xf>
    <xf numFmtId="0" fontId="5" fillId="0" borderId="38" xfId="0" applyFont="1" applyBorder="1" applyAlignment="1">
      <alignment horizontal="right"/>
    </xf>
    <xf numFmtId="0" fontId="36" fillId="0" borderId="0" xfId="0" applyFont="1" applyProtection="1">
      <protection hidden="1"/>
    </xf>
    <xf numFmtId="0" fontId="81" fillId="33" borderId="0" xfId="0" applyFont="1" applyFill="1" applyAlignment="1">
      <alignment vertical="center"/>
    </xf>
    <xf numFmtId="3" fontId="3" fillId="0" borderId="0" xfId="0" applyNumberFormat="1" applyFont="1" applyAlignment="1">
      <alignment vertical="center"/>
    </xf>
    <xf numFmtId="1" fontId="5" fillId="0" borderId="0" xfId="31" quotePrefix="1" applyNumberFormat="1" applyFont="1" applyFill="1"/>
    <xf numFmtId="168" fontId="5" fillId="0" borderId="0" xfId="31" quotePrefix="1" applyNumberFormat="1" applyFont="1" applyFill="1"/>
    <xf numFmtId="167" fontId="5" fillId="0" borderId="0" xfId="31" quotePrefix="1" applyNumberFormat="1" applyFont="1" applyFill="1"/>
    <xf numFmtId="0" fontId="81" fillId="33" borderId="0" xfId="0" applyFont="1" applyFill="1" applyAlignment="1">
      <alignment horizontal="left" vertical="center"/>
    </xf>
    <xf numFmtId="0" fontId="30" fillId="35" borderId="0" xfId="0" applyFont="1" applyFill="1"/>
    <xf numFmtId="0" fontId="5" fillId="0" borderId="41" xfId="117" applyBorder="1" applyAlignment="1">
      <alignment horizontal="right"/>
    </xf>
    <xf numFmtId="168" fontId="5" fillId="0" borderId="5" xfId="116" applyNumberFormat="1" applyBorder="1" applyProtection="1">
      <protection locked="0"/>
    </xf>
    <xf numFmtId="0" fontId="84" fillId="0" borderId="0" xfId="0" applyFont="1" applyAlignment="1">
      <alignment vertical="center"/>
    </xf>
    <xf numFmtId="3" fontId="5" fillId="0" borderId="10" xfId="120" applyNumberFormat="1" applyBorder="1" applyProtection="1">
      <protection locked="0"/>
    </xf>
    <xf numFmtId="0" fontId="32" fillId="0" borderId="0" xfId="112" applyFont="1" applyProtection="1">
      <protection hidden="1"/>
    </xf>
    <xf numFmtId="0" fontId="5" fillId="0" borderId="0" xfId="113"/>
    <xf numFmtId="0" fontId="20" fillId="0" borderId="0" xfId="113" applyFont="1"/>
    <xf numFmtId="0" fontId="32" fillId="0" borderId="0" xfId="113" applyFont="1" applyProtection="1">
      <protection hidden="1"/>
    </xf>
    <xf numFmtId="168" fontId="5" fillId="0" borderId="10" xfId="116" applyNumberFormat="1" applyBorder="1" applyProtection="1">
      <protection locked="0"/>
    </xf>
    <xf numFmtId="0" fontId="5" fillId="0" borderId="0" xfId="116"/>
    <xf numFmtId="49" fontId="5" fillId="0" borderId="0" xfId="116" applyNumberFormat="1"/>
    <xf numFmtId="0" fontId="6" fillId="0" borderId="0" xfId="116" applyFont="1"/>
    <xf numFmtId="49" fontId="3" fillId="0" borderId="0" xfId="116" applyNumberFormat="1" applyFont="1" applyAlignment="1">
      <alignment horizontal="right"/>
    </xf>
    <xf numFmtId="0" fontId="5" fillId="0" borderId="18" xfId="116" applyBorder="1"/>
    <xf numFmtId="0" fontId="5" fillId="0" borderId="19" xfId="116" applyBorder="1"/>
    <xf numFmtId="0" fontId="6" fillId="0" borderId="18" xfId="116" applyFont="1" applyBorder="1"/>
    <xf numFmtId="0" fontId="6" fillId="0" borderId="20" xfId="116" applyFont="1" applyBorder="1"/>
    <xf numFmtId="0" fontId="5" fillId="0" borderId="20" xfId="116" applyBorder="1"/>
    <xf numFmtId="0" fontId="5" fillId="0" borderId="21" xfId="116" applyBorder="1"/>
    <xf numFmtId="0" fontId="5" fillId="0" borderId="22" xfId="116" applyBorder="1"/>
    <xf numFmtId="0" fontId="6" fillId="0" borderId="22" xfId="116" applyFont="1" applyBorder="1"/>
    <xf numFmtId="0" fontId="3" fillId="0" borderId="0" xfId="116" applyFont="1" applyProtection="1">
      <protection hidden="1"/>
    </xf>
    <xf numFmtId="0" fontId="5" fillId="0" borderId="0" xfId="116" applyProtection="1">
      <protection hidden="1"/>
    </xf>
    <xf numFmtId="164" fontId="5" fillId="0" borderId="33" xfId="116" applyNumberFormat="1" applyBorder="1"/>
    <xf numFmtId="164" fontId="5" fillId="24" borderId="10" xfId="116" applyNumberFormat="1" applyFill="1" applyBorder="1" applyProtection="1">
      <protection locked="0"/>
    </xf>
    <xf numFmtId="168" fontId="5" fillId="24" borderId="10" xfId="116" applyNumberFormat="1" applyFill="1" applyBorder="1" applyProtection="1">
      <protection locked="0"/>
    </xf>
    <xf numFmtId="0" fontId="5" fillId="0" borderId="41" xfId="117" applyBorder="1"/>
    <xf numFmtId="0" fontId="5" fillId="0" borderId="0" xfId="117"/>
    <xf numFmtId="49" fontId="5" fillId="0" borderId="0" xfId="117" applyNumberFormat="1"/>
    <xf numFmtId="49" fontId="3" fillId="0" borderId="0" xfId="117" applyNumberFormat="1" applyFont="1" applyAlignment="1">
      <alignment horizontal="right"/>
    </xf>
    <xf numFmtId="0" fontId="5" fillId="0" borderId="18" xfId="117" applyBorder="1"/>
    <xf numFmtId="0" fontId="5" fillId="0" borderId="20" xfId="117" applyBorder="1"/>
    <xf numFmtId="0" fontId="3" fillId="0" borderId="0" xfId="117" applyFont="1" applyAlignment="1">
      <alignment horizontal="center"/>
    </xf>
    <xf numFmtId="0" fontId="5" fillId="0" borderId="0" xfId="117" applyAlignment="1">
      <alignment vertical="center"/>
    </xf>
    <xf numFmtId="165" fontId="5" fillId="24" borderId="10" xfId="117" applyNumberFormat="1" applyFill="1" applyBorder="1" applyProtection="1">
      <protection locked="0"/>
    </xf>
    <xf numFmtId="164" fontId="5" fillId="0" borderId="10" xfId="116" applyNumberFormat="1" applyBorder="1" applyProtection="1">
      <protection locked="0"/>
    </xf>
    <xf numFmtId="3" fontId="3" fillId="0" borderId="0" xfId="120" applyNumberFormat="1" applyFont="1" applyAlignment="1">
      <alignment horizontal="center"/>
    </xf>
    <xf numFmtId="0" fontId="5" fillId="0" borderId="0" xfId="120"/>
    <xf numFmtId="3" fontId="3" fillId="0" borderId="0" xfId="120" applyNumberFormat="1" applyFont="1"/>
    <xf numFmtId="0" fontId="5" fillId="0" borderId="0" xfId="120" applyAlignment="1">
      <alignment horizontal="right"/>
    </xf>
    <xf numFmtId="49" fontId="5" fillId="0" borderId="0" xfId="120" applyNumberFormat="1"/>
    <xf numFmtId="0" fontId="3" fillId="0" borderId="0" xfId="120" applyFont="1"/>
    <xf numFmtId="0" fontId="22" fillId="0" borderId="0" xfId="120" applyFont="1"/>
    <xf numFmtId="0" fontId="3" fillId="0" borderId="0" xfId="120" applyFont="1" applyAlignment="1">
      <alignment horizontal="right"/>
    </xf>
    <xf numFmtId="0" fontId="6" fillId="0" borderId="0" xfId="120" applyFont="1"/>
    <xf numFmtId="0" fontId="20" fillId="0" borderId="0" xfId="120" applyFont="1"/>
    <xf numFmtId="0" fontId="5" fillId="0" borderId="18" xfId="120" applyBorder="1"/>
    <xf numFmtId="0" fontId="6" fillId="0" borderId="18" xfId="120" applyFont="1" applyBorder="1"/>
    <xf numFmtId="0" fontId="5" fillId="0" borderId="20" xfId="120" applyBorder="1"/>
    <xf numFmtId="0" fontId="5" fillId="0" borderId="0" xfId="120" applyProtection="1">
      <protection hidden="1"/>
    </xf>
    <xf numFmtId="0" fontId="3" fillId="0" borderId="0" xfId="120" applyFont="1" applyProtection="1">
      <protection hidden="1"/>
    </xf>
    <xf numFmtId="0" fontId="20" fillId="0" borderId="18" xfId="120" applyFont="1" applyBorder="1"/>
    <xf numFmtId="0" fontId="20" fillId="0" borderId="0" xfId="120" applyFont="1" applyProtection="1">
      <protection hidden="1"/>
    </xf>
    <xf numFmtId="3" fontId="5" fillId="24" borderId="10" xfId="120" applyNumberFormat="1" applyFill="1" applyBorder="1" applyProtection="1">
      <protection locked="0"/>
    </xf>
    <xf numFmtId="0" fontId="5" fillId="0" borderId="0" xfId="120" applyAlignment="1">
      <alignment vertical="center"/>
    </xf>
    <xf numFmtId="49" fontId="3" fillId="0" borderId="0" xfId="120" applyNumberFormat="1" applyFont="1" applyAlignment="1">
      <alignment horizontal="right" vertical="center"/>
    </xf>
    <xf numFmtId="0" fontId="72" fillId="0" borderId="0" xfId="120" applyFont="1" applyAlignment="1">
      <alignment vertical="center"/>
    </xf>
    <xf numFmtId="0" fontId="79" fillId="33" borderId="0" xfId="120" applyFont="1" applyFill="1" applyAlignment="1">
      <alignment vertical="center"/>
    </xf>
    <xf numFmtId="0" fontId="79" fillId="33" borderId="0" xfId="120" applyFont="1" applyFill="1" applyAlignment="1">
      <alignment horizontal="right" vertical="center"/>
    </xf>
    <xf numFmtId="0" fontId="81" fillId="33" borderId="0" xfId="120" applyFont="1" applyFill="1" applyAlignment="1">
      <alignment vertical="center"/>
    </xf>
    <xf numFmtId="3" fontId="79" fillId="33" borderId="0" xfId="120" applyNumberFormat="1" applyFont="1" applyFill="1" applyAlignment="1">
      <alignment vertical="center"/>
    </xf>
    <xf numFmtId="0" fontId="85" fillId="33" borderId="0" xfId="0" applyFont="1" applyFill="1"/>
    <xf numFmtId="0" fontId="5" fillId="21" borderId="0" xfId="123" applyFill="1" applyAlignment="1">
      <alignment vertical="center"/>
    </xf>
    <xf numFmtId="49" fontId="30" fillId="0" borderId="0" xfId="0" applyNumberFormat="1" applyFont="1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24" borderId="0" xfId="93" applyFont="1" applyFill="1" applyAlignment="1">
      <alignment vertical="center"/>
    </xf>
    <xf numFmtId="165" fontId="0" fillId="24" borderId="0" xfId="0" applyNumberFormat="1" applyFill="1"/>
    <xf numFmtId="0" fontId="8" fillId="0" borderId="0" xfId="55" applyBorder="1" applyAlignment="1" applyProtection="1">
      <alignment vertical="center"/>
      <protection locked="0"/>
    </xf>
    <xf numFmtId="0" fontId="0" fillId="0" borderId="27" xfId="0" applyBorder="1"/>
    <xf numFmtId="0" fontId="3" fillId="0" borderId="27" xfId="55" applyFont="1" applyBorder="1" applyAlignment="1" applyProtection="1">
      <alignment horizontal="left" vertical="center" indent="1"/>
    </xf>
    <xf numFmtId="0" fontId="8" fillId="0" borderId="0" xfId="55" applyBorder="1" applyAlignment="1" applyProtection="1">
      <alignment vertical="center"/>
    </xf>
    <xf numFmtId="0" fontId="8" fillId="0" borderId="0" xfId="55" applyBorder="1" applyAlignment="1" applyProtection="1">
      <alignment horizontal="left" vertical="center"/>
      <protection locked="0"/>
    </xf>
    <xf numFmtId="49" fontId="5" fillId="0" borderId="0" xfId="0" applyNumberFormat="1" applyFont="1" applyAlignment="1">
      <alignment horizontal="left" indent="1"/>
    </xf>
    <xf numFmtId="0" fontId="8" fillId="0" borderId="0" xfId="55" applyBorder="1" applyAlignment="1" applyProtection="1">
      <alignment horizontal="left" vertical="center" indent="1"/>
      <protection locked="0"/>
    </xf>
    <xf numFmtId="0" fontId="3" fillId="0" borderId="0" xfId="0" applyFont="1" applyAlignment="1">
      <alignment horizontal="left" indent="2"/>
    </xf>
    <xf numFmtId="0" fontId="5" fillId="0" borderId="0" xfId="0" applyFont="1" applyAlignment="1">
      <alignment horizontal="center" vertical="center"/>
    </xf>
    <xf numFmtId="0" fontId="25" fillId="0" borderId="0" xfId="55" applyFont="1" applyBorder="1" applyAlignment="1" applyProtection="1">
      <alignment vertical="center"/>
      <protection locked="0"/>
    </xf>
    <xf numFmtId="0" fontId="86" fillId="37" borderId="0" xfId="0" applyFont="1" applyFill="1" applyAlignment="1">
      <alignment horizontal="center" vertical="center" wrapText="1"/>
    </xf>
    <xf numFmtId="0" fontId="87" fillId="37" borderId="0" xfId="0" applyFont="1" applyFill="1" applyAlignment="1">
      <alignment horizontal="center" wrapText="1"/>
    </xf>
    <xf numFmtId="0" fontId="8" fillId="0" borderId="16" xfId="55" applyBorder="1" applyAlignment="1" applyProtection="1">
      <alignment horizontal="left" vertical="center"/>
      <protection locked="0"/>
    </xf>
    <xf numFmtId="0" fontId="8" fillId="0" borderId="28" xfId="55" applyBorder="1" applyAlignment="1" applyProtection="1">
      <alignment horizontal="left" vertical="center"/>
      <protection locked="0"/>
    </xf>
    <xf numFmtId="0" fontId="5" fillId="24" borderId="42" xfId="0" applyFont="1" applyFill="1" applyBorder="1" applyProtection="1">
      <protection locked="0"/>
    </xf>
    <xf numFmtId="0" fontId="0" fillId="24" borderId="5" xfId="0" applyFill="1" applyBorder="1" applyProtection="1">
      <protection locked="0"/>
    </xf>
    <xf numFmtId="0" fontId="0" fillId="24" borderId="43" xfId="0" applyFill="1" applyBorder="1" applyProtection="1">
      <protection locked="0"/>
    </xf>
    <xf numFmtId="166" fontId="3" fillId="0" borderId="29" xfId="0" applyNumberFormat="1" applyFont="1" applyBorder="1" applyAlignment="1">
      <alignment horizontal="center" vertical="center"/>
    </xf>
    <xf numFmtId="166" fontId="3" fillId="0" borderId="30" xfId="0" applyNumberFormat="1" applyFont="1" applyBorder="1" applyAlignment="1">
      <alignment horizontal="center" vertical="center"/>
    </xf>
    <xf numFmtId="170" fontId="0" fillId="24" borderId="42" xfId="0" applyNumberFormat="1" applyFill="1" applyBorder="1" applyProtection="1">
      <protection locked="0"/>
    </xf>
    <xf numFmtId="170" fontId="0" fillId="24" borderId="5" xfId="0" applyNumberFormat="1" applyFill="1" applyBorder="1" applyProtection="1">
      <protection locked="0"/>
    </xf>
    <xf numFmtId="170" fontId="0" fillId="24" borderId="43" xfId="0" applyNumberFormat="1" applyFill="1" applyBorder="1" applyProtection="1">
      <protection locked="0"/>
    </xf>
    <xf numFmtId="169" fontId="0" fillId="24" borderId="42" xfId="0" applyNumberFormat="1" applyFill="1" applyBorder="1" applyProtection="1">
      <protection locked="0"/>
    </xf>
    <xf numFmtId="169" fontId="0" fillId="24" borderId="5" xfId="0" applyNumberFormat="1" applyFill="1" applyBorder="1" applyProtection="1">
      <protection locked="0"/>
    </xf>
    <xf numFmtId="169" fontId="0" fillId="24" borderId="43" xfId="0" applyNumberFormat="1" applyFill="1" applyBorder="1" applyProtection="1">
      <protection locked="0"/>
    </xf>
    <xf numFmtId="1" fontId="80" fillId="33" borderId="0" xfId="0" applyNumberFormat="1" applyFont="1" applyFill="1" applyAlignment="1">
      <alignment vertical="center"/>
    </xf>
    <xf numFmtId="0" fontId="79" fillId="3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55" applyBorder="1" applyAlignment="1" applyProtection="1">
      <alignment horizontal="left" vertical="center"/>
      <protection locked="0"/>
    </xf>
    <xf numFmtId="0" fontId="3" fillId="0" borderId="27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24" borderId="42" xfId="0" applyFill="1" applyBorder="1" applyProtection="1">
      <protection locked="0"/>
    </xf>
    <xf numFmtId="166" fontId="3" fillId="33" borderId="0" xfId="0" applyNumberFormat="1" applyFont="1" applyFill="1" applyAlignment="1">
      <alignment horizontal="center" vertical="center"/>
    </xf>
    <xf numFmtId="0" fontId="88" fillId="0" borderId="0" xfId="55" applyFont="1" applyFill="1" applyAlignment="1" applyProtection="1">
      <alignment horizontal="left" vertical="center"/>
      <protection locked="0"/>
    </xf>
    <xf numFmtId="0" fontId="29" fillId="14" borderId="0" xfId="0" applyFont="1" applyFill="1" applyAlignment="1">
      <alignment vertical="center"/>
    </xf>
    <xf numFmtId="0" fontId="7" fillId="0" borderId="0" xfId="0" applyFont="1" applyAlignment="1">
      <alignment horizontal="left" vertical="center"/>
    </xf>
    <xf numFmtId="0" fontId="24" fillId="0" borderId="0" xfId="55" applyFont="1" applyFill="1" applyAlignment="1" applyProtection="1">
      <alignment horizontal="left" vertical="center"/>
      <protection locked="0"/>
    </xf>
    <xf numFmtId="0" fontId="18" fillId="0" borderId="0" xfId="55" applyFont="1" applyFill="1" applyAlignment="1" applyProtection="1">
      <alignment horizontal="left" vertical="center"/>
      <protection locked="0"/>
    </xf>
  </cellXfs>
  <cellStyles count="164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Actual Date" xfId="25"/>
    <cellStyle name="Bad 2" xfId="26"/>
    <cellStyle name="balances" xfId="27"/>
    <cellStyle name="Calculation 2" xfId="28"/>
    <cellStyle name="Check Cell 2" xfId="29"/>
    <cellStyle name="Comma" xfId="30" builtinId="3"/>
    <cellStyle name="Comma 2" xfId="31"/>
    <cellStyle name="Comma 3" xfId="32"/>
    <cellStyle name="Comma 3 2" xfId="33"/>
    <cellStyle name="Comma 3 3" xfId="34"/>
    <cellStyle name="Comma 4" xfId="35"/>
    <cellStyle name="Currency 2" xfId="36"/>
    <cellStyle name="Currency 3" xfId="37"/>
    <cellStyle name="Currency 4" xfId="38"/>
    <cellStyle name="Date" xfId="39"/>
    <cellStyle name="Excel.Chart" xfId="40"/>
    <cellStyle name="Explanatory Text 2" xfId="41"/>
    <cellStyle name="Fixed" xfId="42"/>
    <cellStyle name="Good 2" xfId="43"/>
    <cellStyle name="Grey" xfId="44"/>
    <cellStyle name="HEADER" xfId="45"/>
    <cellStyle name="Header1" xfId="46"/>
    <cellStyle name="Header2" xfId="47"/>
    <cellStyle name="Heading 1 2" xfId="48"/>
    <cellStyle name="Heading 2 2" xfId="49"/>
    <cellStyle name="Heading 3 2" xfId="50"/>
    <cellStyle name="Heading 4 2" xfId="51"/>
    <cellStyle name="Heading1" xfId="52"/>
    <cellStyle name="Heading2" xfId="53"/>
    <cellStyle name="HIGHLIGHT" xfId="54"/>
    <cellStyle name="Hyperlink" xfId="55" builtinId="8"/>
    <cellStyle name="Hyperlink 2" xfId="56"/>
    <cellStyle name="Hyperlink 2 2" xfId="57"/>
    <cellStyle name="Hyperlink 2 3" xfId="58"/>
    <cellStyle name="Hyperlink 2 4" xfId="59"/>
    <cellStyle name="Hyperlink 2 5" xfId="60"/>
    <cellStyle name="Hyperlink 3" xfId="61"/>
    <cellStyle name="Hyperlink 4" xfId="62"/>
    <cellStyle name="Hyperlink 4 2" xfId="63"/>
    <cellStyle name="Hyperlink 4 3" xfId="64"/>
    <cellStyle name="Hyperlink 5" xfId="65"/>
    <cellStyle name="Input [yellow]" xfId="66"/>
    <cellStyle name="Input [yellow] 2" xfId="67"/>
    <cellStyle name="Input [yellow] 3" xfId="68"/>
    <cellStyle name="Input 2" xfId="69"/>
    <cellStyle name="Linked Cell 2" xfId="70"/>
    <cellStyle name="Neutral 2" xfId="71"/>
    <cellStyle name="no dec" xfId="72"/>
    <cellStyle name="Normal" xfId="0" builtinId="0"/>
    <cellStyle name="Normal - Style1" xfId="73"/>
    <cellStyle name="Normal 10" xfId="74"/>
    <cellStyle name="Normal 10 2" xfId="75"/>
    <cellStyle name="Normal 11" xfId="76"/>
    <cellStyle name="Normal 11 2" xfId="77"/>
    <cellStyle name="Normal 12" xfId="78"/>
    <cellStyle name="Normal 12 2" xfId="79"/>
    <cellStyle name="Normal 13" xfId="80"/>
    <cellStyle name="Normal 13 2" xfId="81"/>
    <cellStyle name="Normal 14" xfId="82"/>
    <cellStyle name="Normal 14 2" xfId="83"/>
    <cellStyle name="Normal 15" xfId="84"/>
    <cellStyle name="Normal 15 2" xfId="85"/>
    <cellStyle name="Normal 16" xfId="86"/>
    <cellStyle name="Normal 16 2" xfId="87"/>
    <cellStyle name="Normal 17" xfId="88"/>
    <cellStyle name="Normal 18" xfId="89"/>
    <cellStyle name="Normal 19" xfId="90"/>
    <cellStyle name="Normal 2" xfId="91"/>
    <cellStyle name="Normal 2 2" xfId="92"/>
    <cellStyle name="Normal 2 2 2" xfId="93"/>
    <cellStyle name="Normal 2 3" xfId="94"/>
    <cellStyle name="Normal 2_Data" xfId="95"/>
    <cellStyle name="Normal 20" xfId="96"/>
    <cellStyle name="Normal 21" xfId="97"/>
    <cellStyle name="Normal 22" xfId="98"/>
    <cellStyle name="Normal 23" xfId="99"/>
    <cellStyle name="Normal 24" xfId="100"/>
    <cellStyle name="Normal 25" xfId="101"/>
    <cellStyle name="Normal 26" xfId="102"/>
    <cellStyle name="Normal 27" xfId="103"/>
    <cellStyle name="Normal 28" xfId="104"/>
    <cellStyle name="Normal 29" xfId="105"/>
    <cellStyle name="Normal 3" xfId="106"/>
    <cellStyle name="Normal 3 2" xfId="107"/>
    <cellStyle name="Normal 30" xfId="108"/>
    <cellStyle name="Normal 31" xfId="109"/>
    <cellStyle name="Normal 32" xfId="110"/>
    <cellStyle name="Normal 33" xfId="111"/>
    <cellStyle name="Normal 34" xfId="112"/>
    <cellStyle name="Normal 35" xfId="113"/>
    <cellStyle name="Normal 36" xfId="114"/>
    <cellStyle name="Normal 37" xfId="115"/>
    <cellStyle name="Normal 38" xfId="116"/>
    <cellStyle name="Normal 39" xfId="117"/>
    <cellStyle name="Normal 4" xfId="118"/>
    <cellStyle name="Normal 4 2" xfId="119"/>
    <cellStyle name="Normal 40" xfId="120"/>
    <cellStyle name="Normal 41" xfId="121"/>
    <cellStyle name="Normal 42" xfId="122"/>
    <cellStyle name="Normal 43" xfId="123"/>
    <cellStyle name="Normal 5" xfId="124"/>
    <cellStyle name="Normal 5 2" xfId="125"/>
    <cellStyle name="Normal 5 3" xfId="126"/>
    <cellStyle name="Normal 5 4" xfId="127"/>
    <cellStyle name="Normal 6" xfId="128"/>
    <cellStyle name="Normal 6 2" xfId="129"/>
    <cellStyle name="Normal 7" xfId="130"/>
    <cellStyle name="Normal 7 2" xfId="131"/>
    <cellStyle name="Normal 7 3" xfId="132"/>
    <cellStyle name="Normal 8" xfId="133"/>
    <cellStyle name="Normal 8 2" xfId="134"/>
    <cellStyle name="Normal 9" xfId="135"/>
    <cellStyle name="Normal 9 2" xfId="136"/>
    <cellStyle name="Note 2" xfId="137"/>
    <cellStyle name="Output 2" xfId="138"/>
    <cellStyle name="Output Amounts" xfId="139"/>
    <cellStyle name="Output Column Headings" xfId="140"/>
    <cellStyle name="Output Line Items" xfId="141"/>
    <cellStyle name="Output Report Heading" xfId="142"/>
    <cellStyle name="Output Report Title" xfId="143"/>
    <cellStyle name="Percent [2]" xfId="144"/>
    <cellStyle name="Percent 10" xfId="145"/>
    <cellStyle name="Percent 11" xfId="146"/>
    <cellStyle name="Percent 17" xfId="147"/>
    <cellStyle name="Percent 2" xfId="148"/>
    <cellStyle name="Percent 3" xfId="149"/>
    <cellStyle name="Percent 4" xfId="150"/>
    <cellStyle name="Percent 5" xfId="151"/>
    <cellStyle name="Percent 6" xfId="152"/>
    <cellStyle name="Percent 7" xfId="153"/>
    <cellStyle name="Percent 7 2" xfId="154"/>
    <cellStyle name="Percent 8" xfId="155"/>
    <cellStyle name="Percent 8 2" xfId="156"/>
    <cellStyle name="Percent 9" xfId="157"/>
    <cellStyle name="Title 2" xfId="158"/>
    <cellStyle name="Total 2" xfId="159"/>
    <cellStyle name="Unprot" xfId="160"/>
    <cellStyle name="Unprot$" xfId="161"/>
    <cellStyle name="Unprotect" xfId="162"/>
    <cellStyle name="Warning Text 2" xfId="163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DDDD"/>
      <rgbColor rgb="00CC99FF"/>
      <rgbColor rgb="00D7E9F2"/>
      <rgbColor rgb="003366FF"/>
      <rgbColor rgb="0033CCCC"/>
      <rgbColor rgb="0099CC00"/>
      <rgbColor rgb="009BBFDB"/>
      <rgbColor rgb="005A82A6"/>
      <rgbColor rgb="0033495F"/>
      <rgbColor rgb="00666699"/>
      <rgbColor rgb="00969696"/>
      <rgbColor rgb="00003366"/>
      <rgbColor rgb="00339966"/>
      <rgbColor rgb="00003300"/>
      <rgbColor rgb="00333300"/>
      <rgbColor rgb="001D3961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66675</xdr:rowOff>
    </xdr:from>
    <xdr:to>
      <xdr:col>10</xdr:col>
      <xdr:colOff>67014</xdr:colOff>
      <xdr:row>3</xdr:row>
      <xdr:rowOff>148590</xdr:rowOff>
    </xdr:to>
    <xdr:pic>
      <xdr:nvPicPr>
        <xdr:cNvPr id="13" name="Picture 12" descr="MHEDA">
          <a:extLst>
            <a:ext uri="{FF2B5EF4-FFF2-40B4-BE49-F238E27FC236}">
              <a16:creationId xmlns:a16="http://schemas.microsoft.com/office/drawing/2014/main" xmlns="" id="{4231E378-6BF5-4541-8AF2-07F3B66246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66675"/>
          <a:ext cx="1943439" cy="681990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urveys@mackayresearchgroup.com" TargetMode="External"/><Relationship Id="rId2" Type="http://schemas.openxmlformats.org/officeDocument/2006/relationships/hyperlink" Target="../../../2023/2022/MHEDA/Prep/MHEDA%20DiSC%20Dropbox%20Upload" TargetMode="External"/><Relationship Id="rId1" Type="http://schemas.openxmlformats.org/officeDocument/2006/relationships/hyperlink" Target="mailto:taylor@mackayresearchgroup.com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dropbox.com/request/Ry0I1y9Y5Fw7NRNrL7He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info@mackayresearchgroup.com" TargetMode="External"/><Relationship Id="rId2" Type="http://schemas.openxmlformats.org/officeDocument/2006/relationships/hyperlink" Target="mailto:surveys@mackayresearchgroup.com" TargetMode="External"/><Relationship Id="rId1" Type="http://schemas.openxmlformats.org/officeDocument/2006/relationships/hyperlink" Target="mailto:surveys@mackayresearchgroup.com" TargetMode="External"/><Relationship Id="rId5" Type="http://schemas.openxmlformats.org/officeDocument/2006/relationships/printerSettings" Target="../printerSettings/printerSettings4.bin"/><Relationship Id="rId4" Type="http://schemas.openxmlformats.org/officeDocument/2006/relationships/hyperlink" Target="mailto:taylor@mackayresearchgroup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0"/>
  <sheetViews>
    <sheetView showGridLines="0" showRowColHeaders="0" tabSelected="1" zoomScaleNormal="100" zoomScaleSheetLayoutView="90" workbookViewId="0">
      <selection activeCell="P23" sqref="P23:T23"/>
    </sheetView>
  </sheetViews>
  <sheetFormatPr defaultColWidth="0" defaultRowHeight="12.3"/>
  <cols>
    <col min="1" max="1" width="4.71875" customWidth="1"/>
    <col min="2" max="15" width="2.71875" customWidth="1"/>
    <col min="16" max="16" width="15.71875" customWidth="1"/>
    <col min="17" max="17" width="6.44140625" customWidth="1"/>
    <col min="18" max="18" width="12.5546875" customWidth="1"/>
    <col min="19" max="19" width="2.71875" customWidth="1"/>
    <col min="20" max="20" width="15.83203125" customWidth="1"/>
    <col min="21" max="21" width="40.5546875" customWidth="1"/>
    <col min="22" max="22" width="18.71875" hidden="1" customWidth="1"/>
    <col min="23" max="23" width="6.71875" hidden="1" customWidth="1"/>
  </cols>
  <sheetData>
    <row r="1" spans="1:21" s="218" customFormat="1">
      <c r="A1" s="326"/>
      <c r="B1" s="326"/>
      <c r="C1" s="326"/>
      <c r="D1" s="326"/>
      <c r="E1" s="326"/>
      <c r="F1" s="326"/>
      <c r="G1" s="326"/>
      <c r="H1" s="326"/>
      <c r="I1" s="326"/>
      <c r="J1" s="326"/>
      <c r="K1" s="326"/>
      <c r="L1" s="327"/>
      <c r="M1" s="326"/>
      <c r="N1" s="326"/>
      <c r="O1" s="326"/>
      <c r="P1" s="326"/>
      <c r="Q1" s="326"/>
      <c r="R1" s="326"/>
      <c r="S1" s="514" t="s">
        <v>13</v>
      </c>
      <c r="T1" s="515"/>
      <c r="U1" s="326"/>
    </row>
    <row r="2" spans="1:21" s="218" customFormat="1" ht="15.3" thickBot="1">
      <c r="A2" s="326"/>
      <c r="B2" s="326"/>
      <c r="C2" s="328"/>
      <c r="D2" s="326"/>
      <c r="E2" s="326"/>
      <c r="F2" s="326"/>
      <c r="G2" s="326"/>
      <c r="H2" s="326"/>
      <c r="I2" s="326"/>
      <c r="J2" s="326"/>
      <c r="K2" s="326"/>
      <c r="L2" s="326"/>
      <c r="M2" s="326"/>
      <c r="N2" s="326"/>
      <c r="O2" s="326"/>
      <c r="P2" s="326"/>
      <c r="Q2" s="326"/>
      <c r="R2" s="326"/>
      <c r="S2" s="502">
        <v>45744</v>
      </c>
      <c r="T2" s="503"/>
      <c r="U2" s="326"/>
    </row>
    <row r="3" spans="1:21" s="218" customFormat="1" ht="18" customHeight="1">
      <c r="A3" s="326"/>
      <c r="B3" s="326"/>
      <c r="C3" s="328"/>
      <c r="D3" s="326"/>
      <c r="E3" s="326"/>
      <c r="F3" s="326"/>
      <c r="G3" s="326"/>
      <c r="H3" s="326"/>
      <c r="I3" s="326"/>
      <c r="J3" s="326"/>
      <c r="K3" s="330"/>
      <c r="L3" s="330"/>
      <c r="M3" s="330"/>
      <c r="N3" s="330"/>
      <c r="O3" s="330"/>
      <c r="P3" s="331" t="s">
        <v>61</v>
      </c>
      <c r="Q3" s="326"/>
      <c r="R3" s="326"/>
      <c r="S3" s="517"/>
      <c r="T3" s="517"/>
      <c r="U3" s="326"/>
    </row>
    <row r="4" spans="1:21" s="218" customFormat="1" ht="18" customHeight="1">
      <c r="A4" s="326"/>
      <c r="B4" s="328"/>
      <c r="C4" s="328"/>
      <c r="D4" s="326"/>
      <c r="E4" s="326"/>
      <c r="F4" s="326"/>
      <c r="G4" s="326"/>
      <c r="H4" s="326"/>
      <c r="I4" s="326"/>
      <c r="J4" s="326"/>
      <c r="K4" s="510">
        <v>2025</v>
      </c>
      <c r="L4" s="511"/>
      <c r="M4" s="511"/>
      <c r="N4" s="511"/>
      <c r="O4" s="332" t="s">
        <v>149</v>
      </c>
      <c r="P4" s="333"/>
      <c r="Q4" s="326"/>
      <c r="R4" s="329"/>
      <c r="S4" s="326"/>
      <c r="T4" s="326"/>
      <c r="U4" s="326"/>
    </row>
    <row r="5" spans="1:21" s="218" customFormat="1" ht="18" customHeight="1">
      <c r="A5" s="326"/>
      <c r="B5" s="326"/>
      <c r="C5" s="326"/>
      <c r="D5" s="326"/>
      <c r="E5" s="326"/>
      <c r="F5" s="326"/>
      <c r="G5" s="326"/>
      <c r="H5" s="326"/>
      <c r="I5" s="326"/>
      <c r="J5" s="326"/>
      <c r="K5" s="330"/>
      <c r="L5" s="330"/>
      <c r="M5" s="330"/>
      <c r="N5" s="330"/>
      <c r="O5" s="330"/>
      <c r="P5" s="331" t="s">
        <v>678</v>
      </c>
      <c r="Q5" s="326"/>
      <c r="R5" s="326"/>
      <c r="S5" s="326"/>
      <c r="T5" s="326"/>
      <c r="U5" s="326"/>
    </row>
    <row r="6" spans="1:21" ht="6" customHeight="1" thickBot="1">
      <c r="P6" s="14"/>
    </row>
    <row r="7" spans="1:21" ht="12.75" customHeight="1">
      <c r="B7" s="344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6"/>
      <c r="P7" s="347" t="s">
        <v>51</v>
      </c>
      <c r="Q7" s="345"/>
      <c r="R7" s="345"/>
      <c r="S7" s="345"/>
      <c r="T7" s="348"/>
    </row>
    <row r="8" spans="1:21" ht="12.75" customHeight="1">
      <c r="B8" s="349"/>
      <c r="C8" s="350"/>
      <c r="D8" s="350"/>
      <c r="E8" s="350"/>
      <c r="F8" s="350"/>
      <c r="G8" s="350"/>
      <c r="H8" s="350"/>
      <c r="I8" s="350"/>
      <c r="J8" s="350"/>
      <c r="K8" s="350"/>
      <c r="L8" s="350"/>
      <c r="M8" s="350"/>
      <c r="N8" s="350"/>
      <c r="O8" s="351"/>
      <c r="P8" s="352" t="s">
        <v>150</v>
      </c>
      <c r="Q8" s="350"/>
      <c r="R8" s="350"/>
      <c r="S8" s="350"/>
      <c r="T8" s="353"/>
    </row>
    <row r="9" spans="1:21" ht="12.75" customHeight="1" thickBot="1">
      <c r="B9" s="354"/>
      <c r="C9" s="355"/>
      <c r="D9" s="355"/>
      <c r="E9" s="355"/>
      <c r="F9" s="355"/>
      <c r="G9" s="355"/>
      <c r="H9" s="355"/>
      <c r="I9" s="355"/>
      <c r="J9" s="355"/>
      <c r="K9" s="355"/>
      <c r="L9" s="355"/>
      <c r="M9" s="355"/>
      <c r="N9" s="355"/>
      <c r="O9" s="356"/>
      <c r="P9" s="357" t="s">
        <v>14</v>
      </c>
      <c r="Q9" s="355"/>
      <c r="R9" s="355"/>
      <c r="S9" s="355"/>
      <c r="T9" s="358"/>
    </row>
    <row r="10" spans="1:21" ht="12.75" customHeight="1">
      <c r="B10" s="8"/>
      <c r="C10" s="6"/>
      <c r="N10" s="7"/>
      <c r="O10" s="7"/>
      <c r="P10" s="7"/>
      <c r="Q10" s="7"/>
      <c r="R10" s="7"/>
    </row>
    <row r="11" spans="1:21" ht="12.75" customHeight="1">
      <c r="B11" s="1" t="s">
        <v>15</v>
      </c>
      <c r="C11" s="6"/>
      <c r="N11" s="7"/>
      <c r="O11" s="7"/>
      <c r="P11" s="7"/>
      <c r="Q11" s="7"/>
      <c r="R11" s="7"/>
    </row>
    <row r="12" spans="1:21" s="4" customFormat="1" ht="12.75" customHeight="1">
      <c r="A12" s="9" t="s">
        <v>17</v>
      </c>
      <c r="B12" s="4" t="s">
        <v>16</v>
      </c>
      <c r="C12" s="7"/>
      <c r="N12" s="7"/>
      <c r="O12" s="7"/>
      <c r="P12" s="7"/>
      <c r="Q12" s="7"/>
      <c r="R12" s="7"/>
    </row>
    <row r="13" spans="1:21" s="4" customFormat="1" ht="12.75" customHeight="1">
      <c r="A13" s="9"/>
      <c r="B13" s="4" t="s">
        <v>674</v>
      </c>
      <c r="C13" s="7"/>
      <c r="N13" s="7"/>
      <c r="O13" s="7"/>
      <c r="P13" s="7"/>
      <c r="Q13" s="7"/>
      <c r="R13" s="7"/>
    </row>
    <row r="14" spans="1:21" s="4" customFormat="1" ht="12.75" customHeight="1">
      <c r="A14" s="9" t="s">
        <v>18</v>
      </c>
      <c r="B14" t="s">
        <v>676</v>
      </c>
      <c r="C14" s="7"/>
      <c r="N14" s="7"/>
      <c r="O14" s="7"/>
      <c r="P14" s="7"/>
      <c r="Q14" s="7"/>
      <c r="R14" s="7"/>
    </row>
    <row r="15" spans="1:21" s="4" customFormat="1" ht="12.75" customHeight="1">
      <c r="A15" s="9" t="s">
        <v>19</v>
      </c>
      <c r="B15" s="149" t="s">
        <v>147</v>
      </c>
      <c r="C15" s="7"/>
      <c r="N15" s="7"/>
      <c r="O15" s="7"/>
      <c r="P15" s="7"/>
      <c r="Q15" s="7"/>
      <c r="R15" s="7"/>
    </row>
    <row r="16" spans="1:21" s="4" customFormat="1" ht="12.75" customHeight="1">
      <c r="A16" s="9"/>
      <c r="B16" s="149" t="s">
        <v>641</v>
      </c>
      <c r="C16" s="7"/>
      <c r="N16" s="7"/>
      <c r="O16" s="7"/>
      <c r="P16" s="7"/>
      <c r="Q16" s="7"/>
      <c r="R16" s="7"/>
    </row>
    <row r="17" spans="1:22" s="4" customFormat="1" ht="12.75" customHeight="1">
      <c r="A17" s="9" t="s">
        <v>20</v>
      </c>
      <c r="B17" t="s">
        <v>679</v>
      </c>
      <c r="C17" s="7"/>
      <c r="Q17" s="513" t="s">
        <v>146</v>
      </c>
      <c r="R17" s="513"/>
      <c r="S17" s="513"/>
      <c r="T17" s="513"/>
      <c r="U17" s="489"/>
      <c r="V17" s="489"/>
    </row>
    <row r="18" spans="1:22" s="4" customFormat="1" ht="12.75" customHeight="1">
      <c r="A18" s="9" t="s">
        <v>29</v>
      </c>
      <c r="B18" s="23" t="s">
        <v>681</v>
      </c>
      <c r="C18" s="7"/>
      <c r="N18" s="7"/>
      <c r="P18" s="485"/>
      <c r="Q18" s="485"/>
      <c r="R18" s="485"/>
      <c r="S18" s="485"/>
    </row>
    <row r="19" spans="1:22" s="277" customFormat="1" ht="18" customHeight="1">
      <c r="A19" s="490"/>
      <c r="B19" s="518" t="s">
        <v>682</v>
      </c>
      <c r="C19" s="518"/>
      <c r="D19" s="518"/>
      <c r="E19" s="518"/>
      <c r="F19" s="518"/>
      <c r="G19" s="518"/>
      <c r="H19" s="518"/>
      <c r="I19" s="518"/>
      <c r="J19" s="518"/>
      <c r="K19" s="518"/>
      <c r="L19" s="518"/>
      <c r="M19" s="518"/>
      <c r="N19" s="518"/>
      <c r="O19" s="518"/>
      <c r="P19" s="518"/>
      <c r="Q19" s="491"/>
      <c r="S19" s="491"/>
    </row>
    <row r="20" spans="1:22" s="4" customFormat="1" ht="12.75" customHeight="1">
      <c r="A20" s="492" t="s">
        <v>680</v>
      </c>
      <c r="C20" s="7"/>
      <c r="N20" s="7"/>
      <c r="P20" s="485" t="s">
        <v>72</v>
      </c>
      <c r="Q20" s="485"/>
      <c r="R20" s="485"/>
      <c r="S20" s="485"/>
    </row>
    <row r="21" spans="1:22" s="4" customFormat="1" ht="12.75" customHeight="1">
      <c r="A21" s="9" t="s">
        <v>30</v>
      </c>
      <c r="B21" s="4" t="s">
        <v>675</v>
      </c>
      <c r="C21" s="7"/>
      <c r="N21" s="7"/>
      <c r="O21" s="7"/>
      <c r="P21" s="7"/>
      <c r="Q21" s="7"/>
      <c r="R21" s="7"/>
    </row>
    <row r="22" spans="1:22" s="4" customFormat="1" ht="12.75" customHeight="1">
      <c r="A22" s="9"/>
      <c r="B22" s="4" t="s">
        <v>80</v>
      </c>
      <c r="C22" s="11"/>
      <c r="T22" s="228"/>
    </row>
    <row r="23" spans="1:22" ht="12.75" customHeight="1">
      <c r="A23" s="10"/>
      <c r="H23" s="4" t="s">
        <v>620</v>
      </c>
      <c r="O23" s="28"/>
      <c r="P23" s="499"/>
      <c r="Q23" s="500"/>
      <c r="R23" s="500"/>
      <c r="S23" s="500"/>
      <c r="T23" s="501"/>
    </row>
    <row r="24" spans="1:22" ht="12.75" hidden="1" customHeight="1">
      <c r="A24" s="10"/>
      <c r="H24" t="s">
        <v>84</v>
      </c>
      <c r="O24" s="28"/>
      <c r="P24" s="499"/>
      <c r="Q24" s="500"/>
      <c r="R24" s="500"/>
      <c r="S24" s="500"/>
      <c r="T24" s="501"/>
    </row>
    <row r="25" spans="1:22" ht="12.75" customHeight="1">
      <c r="A25" s="10"/>
      <c r="H25" t="s">
        <v>12</v>
      </c>
      <c r="O25" s="28"/>
      <c r="P25" s="499"/>
      <c r="Q25" s="500"/>
      <c r="R25" s="500"/>
      <c r="S25" s="500"/>
      <c r="T25" s="501"/>
    </row>
    <row r="26" spans="1:22" ht="12.75" customHeight="1">
      <c r="H26" t="s">
        <v>0</v>
      </c>
      <c r="O26" s="28"/>
      <c r="P26" s="499"/>
      <c r="Q26" s="500"/>
      <c r="R26" s="500"/>
      <c r="S26" s="500"/>
      <c r="T26" s="501"/>
    </row>
    <row r="27" spans="1:22" ht="12.75" hidden="1" customHeight="1">
      <c r="O27" s="28"/>
      <c r="P27" s="516"/>
      <c r="Q27" s="500"/>
      <c r="R27" s="500"/>
      <c r="S27" s="500"/>
      <c r="T27" s="501"/>
    </row>
    <row r="28" spans="1:22" ht="12.75" customHeight="1">
      <c r="H28" t="s">
        <v>85</v>
      </c>
      <c r="O28" s="28"/>
      <c r="P28" s="499"/>
      <c r="Q28" s="500"/>
      <c r="R28" s="500"/>
      <c r="S28" s="500"/>
      <c r="T28" s="501"/>
    </row>
    <row r="29" spans="1:22" ht="12.75" customHeight="1">
      <c r="H29" t="s">
        <v>86</v>
      </c>
      <c r="O29" s="28"/>
      <c r="P29" s="499"/>
      <c r="Q29" s="500"/>
      <c r="R29" s="500"/>
      <c r="S29" s="500"/>
      <c r="T29" s="501"/>
    </row>
    <row r="30" spans="1:22" ht="12.75" customHeight="1">
      <c r="H30" t="s">
        <v>87</v>
      </c>
      <c r="O30" s="28"/>
      <c r="P30" s="507"/>
      <c r="Q30" s="508"/>
      <c r="R30" s="508"/>
      <c r="S30" s="508"/>
      <c r="T30" s="509"/>
    </row>
    <row r="31" spans="1:22" ht="12.75" customHeight="1">
      <c r="H31" t="s">
        <v>1</v>
      </c>
      <c r="O31" s="28"/>
      <c r="P31" s="504"/>
      <c r="Q31" s="505"/>
      <c r="R31" s="505"/>
      <c r="S31" s="505"/>
      <c r="T31" s="506"/>
    </row>
    <row r="32" spans="1:22" ht="12.75" customHeight="1">
      <c r="H32" t="s">
        <v>35</v>
      </c>
      <c r="N32" s="29"/>
      <c r="O32" s="28"/>
      <c r="P32" s="499"/>
      <c r="Q32" s="500"/>
      <c r="R32" s="500"/>
      <c r="S32" s="500"/>
      <c r="T32" s="501"/>
    </row>
    <row r="33" spans="1:21" ht="12.75" customHeight="1">
      <c r="P33" s="51"/>
    </row>
    <row r="34" spans="1:21" ht="12.75" customHeight="1">
      <c r="A34" s="20" t="s">
        <v>17</v>
      </c>
      <c r="B34" s="164" t="s">
        <v>640</v>
      </c>
    </row>
    <row r="35" spans="1:21" ht="12.75" customHeight="1">
      <c r="A35" s="20"/>
      <c r="B35" s="166" t="s">
        <v>634</v>
      </c>
      <c r="C35" s="163"/>
      <c r="K35" s="359"/>
      <c r="L35" s="359"/>
      <c r="M35" s="359"/>
      <c r="N35" s="359"/>
      <c r="O35" s="359"/>
      <c r="P35" s="359"/>
      <c r="Q35" s="359"/>
      <c r="R35" s="359"/>
      <c r="S35" s="398"/>
      <c r="T35" s="216"/>
    </row>
    <row r="36" spans="1:21" ht="12.75" customHeight="1">
      <c r="A36" s="12"/>
      <c r="B36" s="167" t="s">
        <v>157</v>
      </c>
      <c r="P36" s="399"/>
      <c r="Q36" s="399"/>
      <c r="R36" s="399"/>
      <c r="S36" s="400"/>
      <c r="T36" s="205"/>
      <c r="U36" s="11" t="s">
        <v>160</v>
      </c>
    </row>
    <row r="37" spans="1:21" ht="12.75" customHeight="1">
      <c r="A37" s="24"/>
      <c r="B37" s="167" t="s">
        <v>159</v>
      </c>
      <c r="C37" s="1"/>
      <c r="D37" s="1"/>
      <c r="E37" s="1"/>
      <c r="F37" s="1"/>
      <c r="G37" s="1"/>
      <c r="H37" s="1"/>
      <c r="I37" s="1"/>
      <c r="J37" s="1"/>
      <c r="K37" s="1"/>
      <c r="L37" s="69"/>
      <c r="M37" s="69"/>
      <c r="N37" s="69"/>
      <c r="O37" s="69"/>
      <c r="P37" s="401"/>
      <c r="Q37" s="401"/>
      <c r="R37" s="399"/>
      <c r="S37" s="400"/>
      <c r="T37" s="205"/>
      <c r="U37" s="11" t="s">
        <v>160</v>
      </c>
    </row>
    <row r="38" spans="1:21" ht="12.75" customHeight="1">
      <c r="A38" s="24"/>
      <c r="B38" s="167"/>
      <c r="C38" s="168" t="s">
        <v>158</v>
      </c>
      <c r="D38" s="1"/>
      <c r="E38" s="1"/>
      <c r="F38" s="1"/>
      <c r="G38" s="1"/>
      <c r="H38" s="1"/>
      <c r="I38" s="1"/>
      <c r="J38" s="1"/>
      <c r="K38" s="1"/>
      <c r="L38" s="70"/>
      <c r="M38" s="70"/>
      <c r="N38" s="70"/>
      <c r="O38" s="70"/>
      <c r="P38" s="1"/>
      <c r="Q38" s="1"/>
      <c r="T38" s="17"/>
      <c r="U38" s="23"/>
    </row>
    <row r="39" spans="1:21" ht="12.75" customHeight="1">
      <c r="A39" s="12"/>
      <c r="B39" s="167" t="s">
        <v>341</v>
      </c>
      <c r="K39" s="359"/>
      <c r="L39" s="359"/>
      <c r="M39" s="359"/>
      <c r="N39" s="359"/>
      <c r="O39" s="359"/>
      <c r="P39" s="359"/>
      <c r="Q39" s="359"/>
      <c r="R39" s="359"/>
      <c r="S39" s="398"/>
      <c r="T39" s="389"/>
      <c r="U39" s="11" t="s">
        <v>160</v>
      </c>
    </row>
    <row r="40" spans="1:21" ht="12.75" customHeight="1">
      <c r="A40" s="12"/>
      <c r="B40" s="167"/>
      <c r="C40" s="168" t="s">
        <v>340</v>
      </c>
      <c r="T40" s="169"/>
      <c r="U40" s="11"/>
    </row>
    <row r="41" spans="1:21" ht="12.75" customHeight="1">
      <c r="A41" s="20"/>
      <c r="B41" s="4"/>
      <c r="N41" s="21"/>
      <c r="T41" s="18"/>
    </row>
    <row r="42" spans="1:21" ht="12.75" hidden="1" customHeight="1">
      <c r="B42" s="164" t="s">
        <v>155</v>
      </c>
      <c r="N42" s="21"/>
      <c r="T42" s="170"/>
    </row>
    <row r="43" spans="1:21" ht="12.75" customHeight="1">
      <c r="A43" s="20" t="s">
        <v>18</v>
      </c>
      <c r="B43" s="167" t="s">
        <v>161</v>
      </c>
      <c r="I43" s="359"/>
      <c r="J43" s="359"/>
      <c r="K43" s="359"/>
      <c r="L43" s="359"/>
      <c r="M43" s="359"/>
      <c r="N43" s="224"/>
      <c r="O43" s="359"/>
      <c r="P43" s="359"/>
      <c r="Q43" s="359"/>
      <c r="R43" s="359"/>
      <c r="S43" s="398"/>
      <c r="T43" s="205"/>
      <c r="U43" s="11" t="s">
        <v>165</v>
      </c>
    </row>
    <row r="44" spans="1:21" ht="12.75" hidden="1" customHeight="1">
      <c r="A44" s="12"/>
      <c r="B44" s="167" t="s">
        <v>162</v>
      </c>
      <c r="I44" s="399"/>
      <c r="J44" s="399"/>
      <c r="K44" s="399"/>
      <c r="L44" s="399"/>
      <c r="M44" s="399"/>
      <c r="N44" s="403"/>
      <c r="O44" s="399"/>
      <c r="P44" s="399"/>
      <c r="Q44" s="404"/>
      <c r="R44" s="399"/>
      <c r="S44" s="405" t="s">
        <v>4</v>
      </c>
      <c r="T44" s="210"/>
      <c r="U44" s="23"/>
    </row>
    <row r="45" spans="1:21" ht="12.75" hidden="1" customHeight="1">
      <c r="A45" s="12"/>
      <c r="B45" s="167" t="s">
        <v>163</v>
      </c>
      <c r="M45" s="62"/>
      <c r="N45" s="64"/>
      <c r="O45" s="62"/>
      <c r="P45" s="62"/>
      <c r="Q45" s="402" t="s">
        <v>4</v>
      </c>
      <c r="T45" s="210"/>
      <c r="U45" s="23"/>
    </row>
    <row r="46" spans="1:21" ht="12.75" hidden="1" customHeight="1">
      <c r="A46" s="12"/>
      <c r="B46" s="167" t="s">
        <v>164</v>
      </c>
      <c r="M46" s="68"/>
      <c r="N46" s="71"/>
      <c r="O46" s="68"/>
      <c r="P46" s="66"/>
      <c r="Q46" s="67"/>
      <c r="T46" s="209"/>
      <c r="U46" s="11" t="s">
        <v>166</v>
      </c>
    </row>
    <row r="47" spans="1:21" ht="12.75" customHeight="1">
      <c r="A47" s="24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T47" s="61"/>
      <c r="U47" s="11"/>
    </row>
    <row r="48" spans="1:21" ht="12.75" customHeight="1">
      <c r="A48" s="20" t="s">
        <v>19</v>
      </c>
      <c r="B48" s="164" t="s">
        <v>167</v>
      </c>
    </row>
    <row r="49" spans="1:21" ht="12.75" customHeight="1">
      <c r="A49" s="12"/>
      <c r="B49" s="167" t="s">
        <v>168</v>
      </c>
      <c r="I49" s="62"/>
      <c r="J49" s="62"/>
      <c r="K49" s="62"/>
      <c r="L49" s="62"/>
      <c r="M49" s="62"/>
      <c r="N49" s="62"/>
      <c r="O49" s="62"/>
      <c r="P49" s="62"/>
      <c r="Q49" s="62"/>
      <c r="R49" s="359"/>
      <c r="S49" s="398"/>
      <c r="T49" s="205"/>
      <c r="U49" s="4" t="s">
        <v>171</v>
      </c>
    </row>
    <row r="50" spans="1:21" ht="12.75" customHeight="1">
      <c r="A50" s="24"/>
      <c r="B50" s="167" t="s">
        <v>169</v>
      </c>
      <c r="C50" s="1"/>
      <c r="D50" s="1"/>
      <c r="E50" s="1"/>
      <c r="F50" s="1"/>
      <c r="G50" s="1"/>
      <c r="H50" s="1"/>
      <c r="I50" s="70"/>
      <c r="J50" s="70"/>
      <c r="K50" s="70"/>
      <c r="L50" s="70"/>
      <c r="M50" s="70"/>
      <c r="N50" s="70"/>
      <c r="O50" s="178"/>
      <c r="P50" s="178"/>
      <c r="Q50" s="177"/>
      <c r="R50" s="399"/>
      <c r="S50" s="405" t="s">
        <v>4</v>
      </c>
      <c r="T50" s="210"/>
      <c r="U50" s="11"/>
    </row>
    <row r="51" spans="1:21">
      <c r="A51" s="12"/>
      <c r="B51" s="166" t="s">
        <v>170</v>
      </c>
      <c r="O51" s="66"/>
      <c r="P51" s="66"/>
      <c r="Q51" s="66"/>
      <c r="R51" s="399"/>
      <c r="S51" s="400"/>
      <c r="T51" s="209"/>
      <c r="U51" s="11" t="s">
        <v>3</v>
      </c>
    </row>
    <row r="53" spans="1:21">
      <c r="A53" s="152" t="s">
        <v>20</v>
      </c>
      <c r="B53" s="153" t="s">
        <v>88</v>
      </c>
      <c r="C53" s="150"/>
      <c r="D53" s="150"/>
      <c r="E53" s="150"/>
      <c r="F53" s="150"/>
      <c r="G53" s="150"/>
      <c r="H53" s="150"/>
      <c r="I53" s="150"/>
      <c r="J53" s="150"/>
      <c r="K53" s="150"/>
      <c r="L53" s="512">
        <f>Yr-2</f>
        <v>2023</v>
      </c>
      <c r="M53" s="512"/>
      <c r="N53" s="150"/>
      <c r="O53" s="150"/>
      <c r="P53" s="154"/>
      <c r="Q53" s="150"/>
      <c r="R53" s="150"/>
      <c r="S53" s="155" t="s">
        <v>4</v>
      </c>
      <c r="T53" s="207"/>
      <c r="U53" s="150"/>
    </row>
    <row r="54" spans="1:21">
      <c r="A54" s="152"/>
      <c r="B54" s="153"/>
      <c r="C54" s="150"/>
      <c r="D54" s="150"/>
      <c r="E54" s="150"/>
      <c r="F54" s="150"/>
      <c r="G54" s="150"/>
      <c r="H54" s="150"/>
      <c r="I54" s="150"/>
      <c r="J54" s="150"/>
      <c r="K54" s="150"/>
      <c r="L54" s="390"/>
      <c r="M54" s="390"/>
      <c r="N54" s="150"/>
      <c r="O54" s="150"/>
      <c r="P54" s="154"/>
      <c r="Q54" s="150"/>
      <c r="R54" s="150"/>
      <c r="S54" s="155"/>
      <c r="T54" s="397"/>
      <c r="U54" s="150"/>
    </row>
    <row r="55" spans="1:21" ht="17.100000000000001">
      <c r="A55" s="335" t="s">
        <v>29</v>
      </c>
      <c r="B55" s="396" t="s">
        <v>60</v>
      </c>
      <c r="C55" s="334"/>
      <c r="D55" s="334"/>
      <c r="E55" s="334"/>
      <c r="F55" s="334"/>
      <c r="G55" s="334"/>
      <c r="H55" s="334"/>
      <c r="I55" s="334"/>
      <c r="J55" s="326"/>
      <c r="K55" s="326"/>
      <c r="L55" s="410" t="str">
        <f>"— Fiscal year "&amp; Yr-1 &amp;", 12 months of data, need not be audited"</f>
        <v>— Fiscal year 2024, 12 months of data, need not be audited</v>
      </c>
      <c r="M55" s="394"/>
      <c r="N55" s="394"/>
      <c r="O55" s="394"/>
      <c r="P55" s="326"/>
      <c r="Q55" s="326"/>
      <c r="R55" s="326"/>
      <c r="S55" s="395"/>
      <c r="T55" s="326"/>
      <c r="U55" s="326"/>
    </row>
    <row r="56" spans="1:21" ht="6" customHeight="1">
      <c r="A56" s="406"/>
      <c r="B56" s="407"/>
      <c r="C56" s="365"/>
      <c r="D56" s="365"/>
      <c r="E56" s="365"/>
      <c r="F56" s="365"/>
      <c r="G56" s="365"/>
      <c r="H56" s="365"/>
      <c r="I56" s="365"/>
      <c r="J56" s="362"/>
      <c r="M56" s="59"/>
      <c r="N56" s="59"/>
      <c r="O56" s="59"/>
      <c r="S56" s="10"/>
    </row>
    <row r="57" spans="1:21" ht="12.6">
      <c r="A57" s="12"/>
      <c r="B57" s="1" t="s">
        <v>40</v>
      </c>
      <c r="E57" s="21"/>
      <c r="F57" s="59" t="s">
        <v>590</v>
      </c>
      <c r="H57" s="21"/>
      <c r="I57" s="21"/>
      <c r="J57" s="21"/>
      <c r="K57" s="21"/>
      <c r="L57" s="21"/>
      <c r="M57" s="21"/>
      <c r="R57" s="62"/>
      <c r="S57" s="74" t="s">
        <v>4</v>
      </c>
      <c r="T57" s="213"/>
    </row>
    <row r="58" spans="1:21" ht="12.6">
      <c r="A58" s="12"/>
      <c r="C58" s="4" t="s">
        <v>50</v>
      </c>
      <c r="J58" s="59" t="s">
        <v>591</v>
      </c>
      <c r="O58" s="21"/>
      <c r="P58" s="21"/>
      <c r="Q58" s="21"/>
      <c r="S58" s="3" t="s">
        <v>4</v>
      </c>
      <c r="T58" s="215"/>
    </row>
    <row r="59" spans="1:21" ht="12.6">
      <c r="A59" s="12"/>
      <c r="B59" s="1" t="s">
        <v>191</v>
      </c>
      <c r="G59" s="319" t="s">
        <v>592</v>
      </c>
      <c r="O59" s="21"/>
      <c r="P59" s="21"/>
      <c r="Q59" s="21"/>
      <c r="S59" s="3" t="s">
        <v>4</v>
      </c>
      <c r="T59" s="27">
        <f>T57-T58</f>
        <v>0</v>
      </c>
    </row>
    <row r="60" spans="1:21" ht="15" customHeight="1">
      <c r="A60" s="12"/>
      <c r="B60" s="1" t="s">
        <v>189</v>
      </c>
      <c r="C60" s="362"/>
      <c r="D60" s="362"/>
      <c r="E60" s="362"/>
      <c r="F60" s="362"/>
      <c r="G60" s="362"/>
      <c r="H60" s="362"/>
      <c r="I60" s="362"/>
      <c r="J60" s="362"/>
      <c r="K60" s="362"/>
      <c r="L60" s="362"/>
      <c r="M60" s="362"/>
      <c r="N60" s="362"/>
      <c r="O60" s="362"/>
      <c r="P60" s="362"/>
      <c r="Q60" s="362"/>
      <c r="R60" s="362"/>
      <c r="S60" s="363"/>
      <c r="T60" s="364"/>
    </row>
    <row r="61" spans="1:21" hidden="1">
      <c r="A61" s="12"/>
      <c r="B61" s="4" t="s">
        <v>190</v>
      </c>
      <c r="H61" s="4" t="s">
        <v>593</v>
      </c>
      <c r="S61" s="10"/>
    </row>
    <row r="62" spans="1:21" ht="12.6" hidden="1">
      <c r="A62" s="12"/>
      <c r="B62" s="167" t="s">
        <v>301</v>
      </c>
      <c r="D62" s="4"/>
      <c r="E62" s="4"/>
      <c r="F62" s="4"/>
      <c r="H62" s="4"/>
      <c r="I62" s="36"/>
      <c r="J62" s="4"/>
      <c r="K62" s="4"/>
      <c r="L62" s="4"/>
      <c r="M62" s="4"/>
      <c r="N62" s="4"/>
      <c r="O62" s="4"/>
      <c r="P62" s="59"/>
      <c r="Q62" s="4"/>
      <c r="S62" s="50"/>
      <c r="T62" s="215">
        <f>PA</f>
        <v>0</v>
      </c>
    </row>
    <row r="63" spans="1:21" ht="12.6" hidden="1">
      <c r="A63" s="12"/>
      <c r="B63" s="167" t="s">
        <v>342</v>
      </c>
      <c r="C63" s="36"/>
      <c r="D63" s="4"/>
      <c r="E63" s="4"/>
      <c r="F63" s="4"/>
      <c r="H63" s="168" t="s">
        <v>594</v>
      </c>
      <c r="I63" s="4"/>
      <c r="J63" s="4"/>
      <c r="K63" s="4"/>
      <c r="L63" s="4"/>
      <c r="M63" s="4"/>
      <c r="N63" s="4"/>
      <c r="O63" s="4"/>
      <c r="P63" s="4"/>
      <c r="Q63" s="4"/>
      <c r="R63" s="62"/>
      <c r="S63" s="76"/>
      <c r="T63" s="215"/>
    </row>
    <row r="64" spans="1:21" ht="12.6" hidden="1">
      <c r="A64" s="12"/>
      <c r="B64" s="167" t="s">
        <v>343</v>
      </c>
      <c r="C64" s="36"/>
      <c r="D64" s="4"/>
      <c r="E64" s="4"/>
      <c r="F64" s="4"/>
      <c r="G64" s="4"/>
      <c r="H64" s="168" t="s">
        <v>595</v>
      </c>
      <c r="I64" s="4"/>
      <c r="J64" s="4"/>
      <c r="K64" s="4"/>
      <c r="L64" s="4"/>
      <c r="M64" s="4"/>
      <c r="N64" s="4"/>
      <c r="O64" s="4"/>
      <c r="P64" s="4"/>
      <c r="Q64" s="176"/>
      <c r="R64" s="66"/>
      <c r="S64" s="83"/>
      <c r="T64" s="215"/>
    </row>
    <row r="65" spans="1:20" ht="12.6" hidden="1">
      <c r="A65" s="12"/>
      <c r="B65" s="4" t="s">
        <v>148</v>
      </c>
      <c r="C65" s="36"/>
      <c r="D65" s="4"/>
      <c r="E65" s="4"/>
      <c r="F65" s="4"/>
      <c r="G65" s="4"/>
      <c r="H65" s="59" t="s">
        <v>596</v>
      </c>
      <c r="I65" s="4"/>
      <c r="J65" s="4"/>
      <c r="K65" s="4"/>
      <c r="L65" s="4"/>
      <c r="M65" s="4"/>
      <c r="N65" s="4"/>
      <c r="O65" s="4"/>
      <c r="P65" s="4"/>
      <c r="Q65" s="4"/>
      <c r="S65" s="50"/>
      <c r="T65" s="215"/>
    </row>
    <row r="66" spans="1:20" ht="12.6">
      <c r="A66" s="12"/>
      <c r="B66" s="4" t="s">
        <v>190</v>
      </c>
      <c r="D66" s="4"/>
      <c r="E66" s="4"/>
      <c r="F66" s="4"/>
      <c r="G66" s="4"/>
      <c r="H66" s="59" t="s">
        <v>621</v>
      </c>
      <c r="I66" s="4"/>
      <c r="J66" s="4"/>
      <c r="K66" s="4"/>
      <c r="L66" s="4"/>
      <c r="M66" s="4"/>
      <c r="N66" s="4"/>
      <c r="O66" s="4"/>
      <c r="P66" s="4"/>
      <c r="Q66" s="4"/>
      <c r="S66" s="3" t="s">
        <v>4</v>
      </c>
      <c r="T66" s="216"/>
    </row>
    <row r="67" spans="1:20" hidden="1">
      <c r="A67" s="12"/>
      <c r="B67" s="164" t="s">
        <v>193</v>
      </c>
      <c r="C67" s="1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S67" s="3"/>
      <c r="T67" s="27"/>
    </row>
    <row r="68" spans="1:20" hidden="1">
      <c r="A68" s="12"/>
      <c r="B68" s="167" t="s">
        <v>597</v>
      </c>
      <c r="C68" s="1"/>
      <c r="D68" s="4"/>
      <c r="E68" s="4"/>
      <c r="F68" s="4"/>
      <c r="G68" s="4"/>
      <c r="H68" s="4"/>
      <c r="I68" s="4"/>
      <c r="J68" s="4"/>
      <c r="K68" s="4"/>
      <c r="L68" s="176"/>
      <c r="M68" s="176"/>
      <c r="N68" s="176"/>
      <c r="O68" s="176"/>
      <c r="P68" s="176"/>
      <c r="Q68" s="176"/>
      <c r="R68" s="62"/>
      <c r="S68" s="74"/>
      <c r="T68" s="205"/>
    </row>
    <row r="69" spans="1:20" hidden="1">
      <c r="A69" s="12"/>
      <c r="B69" s="167" t="s">
        <v>194</v>
      </c>
      <c r="C69" s="1"/>
      <c r="D69" s="4"/>
      <c r="E69" s="4"/>
      <c r="F69" s="4"/>
      <c r="G69" s="4"/>
      <c r="H69" s="4"/>
      <c r="I69" s="4"/>
      <c r="J69" s="4"/>
      <c r="K69" s="4"/>
      <c r="L69" s="177"/>
      <c r="M69" s="177"/>
      <c r="N69" s="177"/>
      <c r="O69" s="177"/>
      <c r="P69" s="177"/>
      <c r="Q69" s="177"/>
      <c r="R69" s="66"/>
      <c r="S69" s="75"/>
      <c r="T69" s="205"/>
    </row>
    <row r="70" spans="1:20" ht="12.6" hidden="1">
      <c r="A70" s="12"/>
      <c r="B70" s="167" t="s">
        <v>599</v>
      </c>
      <c r="C70" s="1"/>
      <c r="D70" s="4"/>
      <c r="E70" s="4"/>
      <c r="F70" s="4"/>
      <c r="G70" s="4"/>
      <c r="H70" s="4"/>
      <c r="I70" s="4"/>
      <c r="J70" s="4"/>
      <c r="K70" s="4"/>
      <c r="L70" s="167" t="s">
        <v>598</v>
      </c>
      <c r="M70" s="4"/>
      <c r="N70" s="4"/>
      <c r="O70" s="4"/>
      <c r="P70" s="4"/>
      <c r="Q70" s="4"/>
      <c r="S70" s="3"/>
      <c r="T70" s="205"/>
    </row>
    <row r="71" spans="1:20" ht="12.6">
      <c r="A71" s="12"/>
      <c r="B71" s="167" t="s">
        <v>193</v>
      </c>
      <c r="D71" s="4"/>
      <c r="E71" s="4"/>
      <c r="F71" s="4"/>
      <c r="G71" s="4"/>
      <c r="H71" s="4"/>
      <c r="I71" s="59" t="s">
        <v>622</v>
      </c>
      <c r="J71" s="4"/>
      <c r="K71" s="4"/>
      <c r="L71" s="4"/>
      <c r="M71" s="4"/>
      <c r="N71" s="4"/>
      <c r="O71" s="4"/>
      <c r="P71" s="4"/>
      <c r="Q71" s="4"/>
      <c r="S71" s="3"/>
      <c r="T71" s="216"/>
    </row>
    <row r="72" spans="1:20" hidden="1">
      <c r="A72" s="12"/>
      <c r="B72" s="1" t="s">
        <v>195</v>
      </c>
      <c r="S72" s="10"/>
    </row>
    <row r="73" spans="1:20" hidden="1">
      <c r="A73" s="12"/>
      <c r="B73" s="4" t="s">
        <v>601</v>
      </c>
      <c r="E73" s="4" t="s">
        <v>600</v>
      </c>
      <c r="S73" s="78" t="s">
        <v>4</v>
      </c>
      <c r="T73" s="205"/>
    </row>
    <row r="74" spans="1:20" ht="12.6" hidden="1">
      <c r="A74" s="12"/>
      <c r="B74" s="4" t="s">
        <v>602</v>
      </c>
      <c r="F74" s="4" t="s">
        <v>603</v>
      </c>
      <c r="J74" s="59"/>
      <c r="O74" s="21"/>
      <c r="Q74" s="62"/>
      <c r="R74" s="62"/>
      <c r="S74" s="77"/>
      <c r="T74" s="205"/>
    </row>
    <row r="75" spans="1:20" hidden="1">
      <c r="A75" s="12"/>
      <c r="S75" s="10"/>
    </row>
    <row r="76" spans="1:20" ht="12.6" hidden="1">
      <c r="A76" s="12"/>
      <c r="B76" s="4" t="s">
        <v>196</v>
      </c>
      <c r="E76" s="62"/>
      <c r="F76" s="62"/>
      <c r="G76" s="62"/>
      <c r="H76" s="62"/>
      <c r="I76" s="62"/>
      <c r="J76" s="175"/>
      <c r="K76" s="62"/>
      <c r="L76" s="62"/>
      <c r="M76" s="62"/>
      <c r="N76" s="62"/>
      <c r="O76" s="64"/>
      <c r="P76" s="62"/>
      <c r="Q76" s="62"/>
      <c r="R76" s="62"/>
      <c r="S76" s="151"/>
      <c r="T76" s="205"/>
    </row>
    <row r="77" spans="1:20" hidden="1">
      <c r="A77" s="12"/>
      <c r="B77" s="4" t="s">
        <v>605</v>
      </c>
      <c r="M77" s="4" t="s">
        <v>604</v>
      </c>
      <c r="R77" s="66"/>
      <c r="S77" s="77"/>
      <c r="T77" s="205"/>
    </row>
    <row r="78" spans="1:20" hidden="1">
      <c r="A78" s="12"/>
      <c r="B78" s="4" t="s">
        <v>608</v>
      </c>
      <c r="N78" s="4" t="s">
        <v>607</v>
      </c>
      <c r="P78" s="62"/>
      <c r="Q78" s="62"/>
      <c r="R78" s="62"/>
      <c r="S78" s="78"/>
      <c r="T78" s="205"/>
    </row>
    <row r="79" spans="1:20" hidden="1">
      <c r="A79" s="12"/>
      <c r="B79" s="4" t="s">
        <v>65</v>
      </c>
      <c r="K79" s="62"/>
      <c r="L79" s="62"/>
      <c r="M79" s="62"/>
      <c r="N79" s="62"/>
      <c r="O79" s="62"/>
      <c r="P79" s="66"/>
      <c r="Q79" s="66"/>
      <c r="R79" s="66"/>
      <c r="S79" s="77"/>
      <c r="T79" s="205"/>
    </row>
    <row r="80" spans="1:20">
      <c r="A80" s="12"/>
      <c r="B80" s="4" t="s">
        <v>195</v>
      </c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S80" s="3"/>
      <c r="T80" s="215"/>
    </row>
    <row r="81" spans="1:21" ht="12.6">
      <c r="A81" s="12"/>
      <c r="C81" s="1" t="s">
        <v>192</v>
      </c>
      <c r="L81" s="319" t="s">
        <v>606</v>
      </c>
      <c r="P81" s="59"/>
      <c r="Q81" s="21"/>
      <c r="S81" s="3" t="s">
        <v>4</v>
      </c>
      <c r="T81" s="27">
        <f>PA+OC+TOE</f>
        <v>0</v>
      </c>
    </row>
    <row r="82" spans="1:21">
      <c r="A82" s="12"/>
      <c r="B82" s="1" t="s">
        <v>45</v>
      </c>
      <c r="C82" s="365"/>
      <c r="D82" s="365"/>
      <c r="E82" s="365"/>
      <c r="F82" s="365"/>
      <c r="G82" s="365"/>
      <c r="H82" s="366" t="s">
        <v>609</v>
      </c>
      <c r="I82" s="365"/>
      <c r="J82" s="365"/>
      <c r="K82" s="365"/>
      <c r="L82" s="365"/>
      <c r="M82" s="365"/>
      <c r="N82" s="365"/>
      <c r="O82" s="367"/>
      <c r="P82" s="367"/>
      <c r="Q82" s="367"/>
      <c r="R82" s="365"/>
      <c r="S82" s="368" t="s">
        <v>4</v>
      </c>
      <c r="T82" s="27">
        <f>GP-TE</f>
        <v>0</v>
      </c>
    </row>
    <row r="83" spans="1:21" ht="12.6">
      <c r="A83" s="12"/>
      <c r="B83" t="s">
        <v>41</v>
      </c>
      <c r="H83" s="59" t="s">
        <v>610</v>
      </c>
      <c r="O83" s="21"/>
      <c r="P83" s="64"/>
      <c r="Q83" s="64"/>
      <c r="R83" s="62"/>
      <c r="S83" s="74"/>
      <c r="T83" s="205"/>
    </row>
    <row r="84" spans="1:21" ht="12.6">
      <c r="A84" s="12"/>
      <c r="B84" t="s">
        <v>42</v>
      </c>
      <c r="H84" s="59" t="s">
        <v>611</v>
      </c>
      <c r="O84" s="21"/>
      <c r="P84" s="65"/>
      <c r="Q84" s="65"/>
      <c r="R84" s="66"/>
      <c r="S84" s="75"/>
      <c r="T84" s="205"/>
    </row>
    <row r="85" spans="1:21">
      <c r="A85" s="12"/>
      <c r="B85" t="s">
        <v>43</v>
      </c>
      <c r="L85" s="62"/>
      <c r="M85" s="62"/>
      <c r="N85" s="62"/>
      <c r="O85" s="62"/>
      <c r="P85" s="66"/>
      <c r="Q85" s="66"/>
      <c r="R85" s="66"/>
      <c r="S85" s="77"/>
      <c r="T85" s="205"/>
    </row>
    <row r="86" spans="1:21" ht="12.6">
      <c r="A86" s="12"/>
      <c r="B86" s="1" t="s">
        <v>66</v>
      </c>
      <c r="I86" s="319" t="s">
        <v>612</v>
      </c>
      <c r="S86" s="3" t="s">
        <v>4</v>
      </c>
      <c r="T86" s="27">
        <f>OP+OI-Int-Oex</f>
        <v>0</v>
      </c>
    </row>
    <row r="87" spans="1:21" ht="12.6">
      <c r="A87" s="12"/>
      <c r="B87" t="s">
        <v>44</v>
      </c>
      <c r="G87" s="59" t="s">
        <v>613</v>
      </c>
      <c r="O87" s="21"/>
      <c r="P87" s="21"/>
      <c r="Q87" s="21"/>
      <c r="S87" s="10"/>
      <c r="T87" s="205"/>
    </row>
    <row r="88" spans="1:21">
      <c r="A88" s="12"/>
      <c r="B88" s="1" t="s">
        <v>67</v>
      </c>
      <c r="C88" s="365"/>
      <c r="D88" s="365"/>
      <c r="E88" s="365"/>
      <c r="F88" s="365"/>
      <c r="G88" s="365"/>
      <c r="H88" s="365"/>
      <c r="I88" s="365"/>
      <c r="J88" s="365"/>
      <c r="K88" s="365"/>
      <c r="L88" s="365"/>
      <c r="M88" s="365"/>
      <c r="N88" s="365"/>
      <c r="O88" s="365"/>
      <c r="P88" s="365"/>
      <c r="Q88" s="365"/>
      <c r="R88" s="365"/>
      <c r="S88" s="3" t="s">
        <v>4</v>
      </c>
      <c r="T88" s="27">
        <f>PBT-Tax</f>
        <v>0</v>
      </c>
    </row>
    <row r="89" spans="1:21">
      <c r="A89" s="12"/>
      <c r="B89" s="1"/>
      <c r="S89" s="3"/>
      <c r="T89" s="27"/>
    </row>
    <row r="90" spans="1:21" ht="12.6">
      <c r="A90" s="152" t="s">
        <v>30</v>
      </c>
      <c r="B90" s="1" t="s">
        <v>623</v>
      </c>
      <c r="F90" s="4"/>
      <c r="I90" s="4" t="s">
        <v>677</v>
      </c>
      <c r="J90" s="59"/>
      <c r="O90" s="21"/>
      <c r="P90" s="62"/>
      <c r="Q90" s="62"/>
      <c r="R90" s="62"/>
      <c r="S90" s="3" t="s">
        <v>4</v>
      </c>
      <c r="T90" s="205"/>
    </row>
    <row r="91" spans="1:21">
      <c r="A91" s="12"/>
      <c r="B91" s="1"/>
      <c r="S91" s="3"/>
      <c r="T91" s="27"/>
    </row>
    <row r="92" spans="1:21" ht="15">
      <c r="A92" s="20" t="s">
        <v>31</v>
      </c>
      <c r="B92" s="409" t="s">
        <v>198</v>
      </c>
      <c r="D92" s="21"/>
      <c r="E92" s="21"/>
      <c r="F92" s="21"/>
      <c r="G92" s="21"/>
      <c r="H92" s="21"/>
      <c r="I92" s="21"/>
      <c r="J92" s="21"/>
      <c r="K92" s="21"/>
      <c r="L92" s="21"/>
      <c r="M92" s="21"/>
      <c r="R92" s="84" t="s">
        <v>199</v>
      </c>
      <c r="S92" s="22"/>
      <c r="T92" s="84" t="s">
        <v>50</v>
      </c>
    </row>
    <row r="93" spans="1:21" ht="4" customHeight="1">
      <c r="A93" s="12"/>
      <c r="B93" s="4"/>
      <c r="N93" s="84"/>
      <c r="O93" s="22"/>
      <c r="U93" s="22"/>
    </row>
    <row r="94" spans="1:21" ht="12.6">
      <c r="A94" s="12"/>
      <c r="B94" s="163" t="s">
        <v>200</v>
      </c>
      <c r="I94" s="62"/>
      <c r="J94" s="62"/>
      <c r="K94" s="62"/>
      <c r="L94" s="62"/>
      <c r="M94" s="62"/>
      <c r="N94" s="86"/>
      <c r="P94" s="359"/>
      <c r="Q94" s="408" t="s">
        <v>4</v>
      </c>
      <c r="R94" s="210"/>
      <c r="S94" s="76" t="s">
        <v>4</v>
      </c>
      <c r="T94" s="210"/>
      <c r="U94" s="59" t="s">
        <v>293</v>
      </c>
    </row>
    <row r="95" spans="1:21" ht="12.6">
      <c r="A95" s="20"/>
      <c r="B95" s="163" t="s">
        <v>201</v>
      </c>
      <c r="I95" s="66"/>
      <c r="J95" s="68"/>
      <c r="K95" s="68"/>
      <c r="L95" s="68"/>
      <c r="M95" s="68"/>
      <c r="N95" s="180"/>
      <c r="O95" s="68"/>
      <c r="P95" s="399"/>
      <c r="Q95" s="399"/>
      <c r="R95" s="205"/>
      <c r="T95" s="205"/>
      <c r="U95" s="59" t="s">
        <v>294</v>
      </c>
    </row>
    <row r="96" spans="1:21" ht="12.6">
      <c r="A96" s="12"/>
      <c r="B96" s="163" t="s">
        <v>202</v>
      </c>
      <c r="J96" s="66"/>
      <c r="K96" s="66"/>
      <c r="L96" s="66"/>
      <c r="M96" s="66"/>
      <c r="N96" s="87"/>
      <c r="O96" s="66"/>
      <c r="P96" s="399"/>
      <c r="Q96" s="399"/>
      <c r="R96" s="205"/>
      <c r="T96" s="205"/>
      <c r="U96" s="59" t="s">
        <v>291</v>
      </c>
    </row>
    <row r="97" spans="1:21" ht="12.6">
      <c r="A97" s="12"/>
      <c r="B97" s="163" t="s">
        <v>153</v>
      </c>
      <c r="H97" s="62"/>
      <c r="I97" s="62"/>
      <c r="J97" s="62"/>
      <c r="K97" s="62"/>
      <c r="L97" s="62"/>
      <c r="M97" s="62"/>
      <c r="N97" s="86"/>
      <c r="O97" s="62"/>
      <c r="P97" s="399"/>
      <c r="Q97" s="399"/>
      <c r="R97" s="205"/>
      <c r="T97" s="205"/>
      <c r="U97" s="59" t="s">
        <v>292</v>
      </c>
    </row>
    <row r="98" spans="1:21">
      <c r="A98" s="12"/>
      <c r="B98" s="163" t="s">
        <v>288</v>
      </c>
      <c r="D98" s="64"/>
      <c r="E98" s="64"/>
      <c r="F98" s="64"/>
      <c r="G98" s="64"/>
      <c r="H98" s="64"/>
      <c r="I98" s="64"/>
      <c r="J98" s="64"/>
      <c r="K98" s="64"/>
      <c r="L98" s="64"/>
      <c r="M98" s="64"/>
      <c r="N98" s="86"/>
      <c r="O98" s="62"/>
      <c r="P98" s="399"/>
      <c r="Q98" s="399"/>
      <c r="R98" s="205"/>
      <c r="T98" s="205"/>
    </row>
    <row r="99" spans="1:21" ht="12.6">
      <c r="A99" s="12"/>
      <c r="B99" s="163" t="s">
        <v>289</v>
      </c>
      <c r="K99" s="62"/>
      <c r="L99" s="62"/>
      <c r="M99" s="62"/>
      <c r="N99" s="62"/>
      <c r="O99" s="62"/>
      <c r="P99" s="399"/>
      <c r="Q99" s="399"/>
      <c r="R99" s="205"/>
      <c r="S99" s="181"/>
      <c r="T99" s="205"/>
      <c r="U99" s="168" t="s">
        <v>207</v>
      </c>
    </row>
    <row r="100" spans="1:21" ht="12.6">
      <c r="A100" s="12"/>
      <c r="B100" s="163" t="s">
        <v>290</v>
      </c>
      <c r="M100" s="62"/>
      <c r="N100" s="86"/>
      <c r="O100" s="62"/>
      <c r="P100" s="399"/>
      <c r="Q100" s="399"/>
      <c r="R100" s="219"/>
      <c r="T100" s="219"/>
      <c r="U100" s="168" t="s">
        <v>206</v>
      </c>
    </row>
    <row r="101" spans="1:21">
      <c r="A101" s="24"/>
      <c r="B101" s="163" t="s">
        <v>203</v>
      </c>
      <c r="F101" s="56"/>
      <c r="G101" s="62"/>
      <c r="H101" s="62"/>
      <c r="I101" s="62"/>
      <c r="J101" s="62"/>
      <c r="K101" s="62"/>
      <c r="L101" s="62"/>
      <c r="M101" s="66"/>
      <c r="N101" s="87"/>
      <c r="O101" s="66"/>
      <c r="P101" s="399"/>
      <c r="Q101" s="399"/>
      <c r="R101" s="198">
        <f>NS-SUM(R94:R100)</f>
        <v>0</v>
      </c>
      <c r="T101" s="198">
        <f>COGS-SUM(T94:T100)</f>
        <v>0</v>
      </c>
    </row>
    <row r="102" spans="1:21">
      <c r="A102" s="24"/>
      <c r="C102" s="164" t="s">
        <v>635</v>
      </c>
      <c r="F102" s="56"/>
      <c r="N102" s="25"/>
      <c r="R102" s="25">
        <f>NS</f>
        <v>0</v>
      </c>
      <c r="T102" s="25">
        <f>COGS</f>
        <v>0</v>
      </c>
    </row>
    <row r="103" spans="1:21">
      <c r="A103" s="12"/>
      <c r="B103" s="1"/>
      <c r="S103" s="3"/>
      <c r="T103" s="27"/>
    </row>
    <row r="104" spans="1:21" ht="15">
      <c r="A104" s="20" t="s">
        <v>32</v>
      </c>
      <c r="B104" s="360" t="s">
        <v>624</v>
      </c>
      <c r="R104" s="229" t="s">
        <v>625</v>
      </c>
      <c r="S104" s="229"/>
      <c r="T104" s="361"/>
    </row>
    <row r="105" spans="1:21">
      <c r="A105" s="12"/>
      <c r="B105" s="1"/>
      <c r="R105" s="229" t="s">
        <v>626</v>
      </c>
      <c r="S105" s="229"/>
      <c r="T105" s="361" t="s">
        <v>204</v>
      </c>
    </row>
    <row r="106" spans="1:21" hidden="1">
      <c r="A106" s="12"/>
      <c r="B106" s="166" t="s">
        <v>154</v>
      </c>
      <c r="C106" s="163"/>
      <c r="R106" s="208"/>
      <c r="S106" s="10"/>
      <c r="T106" s="207"/>
    </row>
    <row r="107" spans="1:21">
      <c r="A107" s="12"/>
      <c r="B107" s="166" t="s">
        <v>636</v>
      </c>
      <c r="C107" s="163"/>
      <c r="R107" s="216"/>
      <c r="S107" s="206" t="s">
        <v>4</v>
      </c>
      <c r="T107" s="207"/>
    </row>
    <row r="108" spans="1:21" hidden="1">
      <c r="A108" s="12"/>
      <c r="B108" s="166" t="s">
        <v>297</v>
      </c>
      <c r="C108" s="163"/>
      <c r="R108" s="216"/>
      <c r="T108" s="216"/>
    </row>
    <row r="109" spans="1:21">
      <c r="A109" s="12"/>
      <c r="B109" s="166" t="s">
        <v>629</v>
      </c>
      <c r="R109" s="216"/>
      <c r="T109" s="216"/>
    </row>
    <row r="110" spans="1:21">
      <c r="A110" s="12"/>
      <c r="B110" s="166" t="s">
        <v>628</v>
      </c>
      <c r="C110" s="163"/>
      <c r="R110" s="216"/>
      <c r="T110" s="205"/>
    </row>
    <row r="111" spans="1:21" hidden="1">
      <c r="A111" s="12"/>
      <c r="R111" s="2"/>
      <c r="T111" s="205">
        <f>COGS_SVC</f>
        <v>0</v>
      </c>
    </row>
    <row r="112" spans="1:21">
      <c r="A112" s="12"/>
      <c r="B112" s="4" t="s">
        <v>638</v>
      </c>
      <c r="C112" s="163"/>
      <c r="R112" s="216"/>
      <c r="T112" s="205"/>
    </row>
    <row r="113" spans="1:21" hidden="1">
      <c r="A113" s="12"/>
      <c r="B113" s="4" t="s">
        <v>335</v>
      </c>
      <c r="C113" s="163"/>
      <c r="R113" s="216"/>
      <c r="T113" s="205"/>
    </row>
    <row r="114" spans="1:21">
      <c r="A114" s="12"/>
      <c r="B114" s="4" t="s">
        <v>627</v>
      </c>
      <c r="C114" s="163"/>
      <c r="R114" s="216"/>
      <c r="T114" s="198">
        <f>(PA)-(PA_Out+PA_Rental+PA_Parts+PA_SVC)</f>
        <v>0</v>
      </c>
    </row>
    <row r="115" spans="1:21">
      <c r="A115" s="12"/>
      <c r="C115" s="1" t="s">
        <v>209</v>
      </c>
      <c r="R115" s="411">
        <f>SUM(R106:R114)</f>
        <v>0</v>
      </c>
      <c r="T115" s="232">
        <f>PA</f>
        <v>0</v>
      </c>
    </row>
    <row r="116" spans="1:21" ht="6" customHeight="1"/>
    <row r="117" spans="1:21">
      <c r="B117" s="166" t="s">
        <v>634</v>
      </c>
      <c r="R117" s="238" t="str">
        <f>IF(ISBLANK(EMP_Tech),"",EMP_Tech)</f>
        <v/>
      </c>
      <c r="T117" s="312" t="str">
        <f>IF((COGS_OTH&lt;&gt;COGS),COGS_SVC,"")</f>
        <v/>
      </c>
    </row>
    <row r="118" spans="1:21">
      <c r="C118" s="1" t="s">
        <v>209</v>
      </c>
      <c r="R118" s="27">
        <f>Emp+EMP_Tech</f>
        <v>0</v>
      </c>
      <c r="T118" s="232">
        <f>SAL_TOT+COGS_SVC</f>
        <v>0</v>
      </c>
    </row>
    <row r="119" spans="1:21" ht="12.6">
      <c r="U119" s="59"/>
    </row>
    <row r="120" spans="1:21">
      <c r="B120" s="4" t="s">
        <v>637</v>
      </c>
      <c r="J120" t="s">
        <v>639</v>
      </c>
      <c r="R120">
        <f>EMP_SVC+EMP_Tech</f>
        <v>0</v>
      </c>
      <c r="T120" s="25">
        <f>PA_SVC+COGS_SVC</f>
        <v>0</v>
      </c>
    </row>
    <row r="122" spans="1:21">
      <c r="A122" s="12"/>
      <c r="B122" s="4" t="s">
        <v>582</v>
      </c>
    </row>
    <row r="123" spans="1:21">
      <c r="A123" s="20" t="s">
        <v>48</v>
      </c>
      <c r="B123" s="1" t="s">
        <v>38</v>
      </c>
      <c r="L123" s="62"/>
      <c r="M123" s="62"/>
      <c r="N123" s="62"/>
      <c r="O123" s="62"/>
      <c r="P123" s="62"/>
      <c r="Q123" s="62"/>
      <c r="R123" s="62"/>
      <c r="S123" s="74" t="s">
        <v>4</v>
      </c>
      <c r="T123" s="210"/>
    </row>
    <row r="124" spans="1:21" ht="12.6">
      <c r="A124" s="20" t="s">
        <v>179</v>
      </c>
      <c r="B124" s="1" t="s">
        <v>178</v>
      </c>
      <c r="I124" s="59"/>
      <c r="K124" s="62"/>
      <c r="L124" s="62"/>
      <c r="M124" s="62"/>
      <c r="N124" s="62"/>
      <c r="O124" s="64"/>
      <c r="P124" s="66"/>
      <c r="Q124" s="66"/>
      <c r="R124" s="66"/>
      <c r="S124" s="75" t="s">
        <v>4</v>
      </c>
      <c r="T124" s="210"/>
    </row>
    <row r="125" spans="1:21" hidden="1">
      <c r="A125" s="12"/>
    </row>
    <row r="126" spans="1:21" hidden="1">
      <c r="A126" s="20" t="s">
        <v>180</v>
      </c>
      <c r="B126" s="172" t="s">
        <v>580</v>
      </c>
      <c r="H126" t="s">
        <v>581</v>
      </c>
      <c r="R126" s="5"/>
    </row>
    <row r="127" spans="1:21" hidden="1">
      <c r="A127" s="20"/>
      <c r="B127" s="4" t="s">
        <v>181</v>
      </c>
      <c r="O127" s="62"/>
      <c r="P127" s="62"/>
      <c r="Q127" s="62"/>
      <c r="R127" s="62"/>
      <c r="S127" s="63"/>
      <c r="T127" s="220"/>
      <c r="U127" s="4" t="s">
        <v>3</v>
      </c>
    </row>
    <row r="128" spans="1:21" hidden="1">
      <c r="A128" s="20"/>
      <c r="B128" s="4" t="s">
        <v>182</v>
      </c>
      <c r="O128" s="66"/>
      <c r="P128" s="66"/>
      <c r="Q128" s="66"/>
      <c r="R128" s="66"/>
      <c r="S128" s="67"/>
      <c r="T128" s="220"/>
      <c r="U128" s="4" t="s">
        <v>3</v>
      </c>
    </row>
    <row r="129" spans="1:21" hidden="1">
      <c r="A129" s="12"/>
      <c r="B129" s="4" t="s">
        <v>183</v>
      </c>
      <c r="M129" s="62"/>
      <c r="N129" s="62"/>
      <c r="O129" s="66"/>
      <c r="P129" s="66"/>
      <c r="Q129" s="66"/>
      <c r="R129" s="66"/>
      <c r="S129" s="83"/>
      <c r="T129" s="220"/>
      <c r="U129" s="4" t="s">
        <v>3</v>
      </c>
    </row>
    <row r="130" spans="1:21">
      <c r="A130" s="12"/>
      <c r="B130" s="4"/>
      <c r="O130" s="68"/>
      <c r="S130" s="50"/>
      <c r="T130" s="18"/>
      <c r="U130" s="4"/>
    </row>
    <row r="131" spans="1:21" ht="17.100000000000001">
      <c r="A131" s="335" t="s">
        <v>180</v>
      </c>
      <c r="B131" s="336" t="s">
        <v>49</v>
      </c>
      <c r="C131" s="337"/>
      <c r="D131" s="337"/>
      <c r="E131" s="337"/>
      <c r="F131" s="337"/>
      <c r="G131" s="337"/>
      <c r="H131" s="334"/>
      <c r="I131" s="415" t="s">
        <v>589</v>
      </c>
      <c r="J131" s="337"/>
      <c r="K131" s="337"/>
      <c r="L131" s="337"/>
      <c r="M131" s="337"/>
      <c r="N131" s="334"/>
      <c r="O131" s="334"/>
      <c r="P131" s="334"/>
      <c r="Q131" s="334"/>
      <c r="R131" s="334"/>
      <c r="S131" s="334"/>
      <c r="T131" s="334"/>
      <c r="U131" s="334"/>
    </row>
    <row r="132" spans="1:21">
      <c r="A132" s="12"/>
      <c r="B132" s="72" t="s">
        <v>5</v>
      </c>
      <c r="C132" s="1"/>
    </row>
    <row r="133" spans="1:21">
      <c r="A133" s="12"/>
      <c r="B133" s="1" t="s">
        <v>6</v>
      </c>
      <c r="C133" s="1"/>
    </row>
    <row r="134" spans="1:21">
      <c r="A134" s="12"/>
      <c r="B134" t="s">
        <v>11</v>
      </c>
      <c r="K134" s="62"/>
      <c r="L134" s="62"/>
      <c r="M134" s="62"/>
      <c r="N134" s="62"/>
      <c r="O134" s="62"/>
      <c r="P134" s="62"/>
      <c r="Q134" s="62"/>
      <c r="R134" s="62"/>
      <c r="S134" s="76" t="s">
        <v>4</v>
      </c>
      <c r="T134" s="205"/>
    </row>
    <row r="135" spans="1:21" ht="12.6">
      <c r="A135" s="12"/>
      <c r="B135" s="4" t="s">
        <v>64</v>
      </c>
      <c r="C135" s="1"/>
      <c r="I135" s="59" t="s">
        <v>574</v>
      </c>
      <c r="K135" s="68"/>
      <c r="L135" s="68"/>
      <c r="M135" s="68"/>
      <c r="N135" s="68"/>
      <c r="O135" s="68"/>
      <c r="P135" s="68"/>
      <c r="Q135" s="66"/>
      <c r="R135" s="66"/>
      <c r="S135" s="77"/>
      <c r="T135" s="205"/>
    </row>
    <row r="136" spans="1:21" ht="12.6">
      <c r="A136" s="12"/>
      <c r="B136" s="173" t="s">
        <v>10</v>
      </c>
      <c r="D136" s="21"/>
      <c r="E136" s="21"/>
      <c r="F136" s="59"/>
      <c r="G136" s="21"/>
      <c r="H136" s="21"/>
      <c r="J136" s="21"/>
      <c r="K136" s="21"/>
      <c r="L136" s="21"/>
      <c r="M136" s="21"/>
      <c r="Q136" s="68"/>
      <c r="R136" s="68"/>
      <c r="S136" s="174"/>
    </row>
    <row r="137" spans="1:21" ht="12.6">
      <c r="A137" s="12"/>
      <c r="B137" s="4"/>
      <c r="C137" s="167" t="s">
        <v>184</v>
      </c>
      <c r="D137" s="21"/>
      <c r="E137" s="21"/>
      <c r="F137" s="59"/>
      <c r="G137" s="21"/>
      <c r="H137" s="21"/>
      <c r="J137" s="21"/>
      <c r="K137" s="21"/>
      <c r="L137" s="21"/>
      <c r="M137" s="64"/>
      <c r="N137" s="62"/>
      <c r="O137" s="62"/>
      <c r="P137" s="62"/>
      <c r="Q137" s="62"/>
      <c r="R137" s="62"/>
      <c r="S137" s="78"/>
      <c r="T137" s="205"/>
    </row>
    <row r="138" spans="1:21" ht="12.6">
      <c r="A138" s="12"/>
      <c r="B138" s="4"/>
      <c r="C138" s="167" t="s">
        <v>185</v>
      </c>
      <c r="D138" s="21"/>
      <c r="E138" s="21"/>
      <c r="F138" s="59"/>
      <c r="G138" s="21"/>
      <c r="H138" s="21"/>
      <c r="J138" s="21"/>
      <c r="K138" s="21"/>
      <c r="L138" s="21"/>
      <c r="M138" s="65"/>
      <c r="N138" s="66"/>
      <c r="O138" s="66"/>
      <c r="P138" s="66"/>
      <c r="Q138" s="66"/>
      <c r="R138" s="66"/>
      <c r="S138" s="77"/>
      <c r="T138" s="205"/>
    </row>
    <row r="139" spans="1:21" ht="12.6">
      <c r="A139" s="12"/>
      <c r="B139" s="4"/>
      <c r="C139" s="167" t="s">
        <v>186</v>
      </c>
      <c r="D139" s="21"/>
      <c r="E139" s="21"/>
      <c r="F139" s="59"/>
      <c r="G139" s="21"/>
      <c r="H139" s="64"/>
      <c r="I139" s="62"/>
      <c r="J139" s="64"/>
      <c r="K139" s="64"/>
      <c r="L139" s="64"/>
      <c r="M139" s="64"/>
      <c r="N139" s="66"/>
      <c r="O139" s="66"/>
      <c r="P139" s="66"/>
      <c r="Q139" s="66"/>
      <c r="R139" s="66"/>
      <c r="S139" s="77"/>
      <c r="T139" s="205"/>
    </row>
    <row r="140" spans="1:21" ht="12.6">
      <c r="A140" s="12"/>
      <c r="B140" s="4"/>
      <c r="C140" s="167" t="s">
        <v>187</v>
      </c>
      <c r="D140" s="21"/>
      <c r="E140" s="21"/>
      <c r="F140" s="59"/>
      <c r="G140" s="21"/>
      <c r="H140" s="71"/>
      <c r="I140" s="66"/>
      <c r="J140" s="65"/>
      <c r="K140" s="65"/>
      <c r="L140" s="65"/>
      <c r="M140" s="65"/>
      <c r="N140" s="66"/>
      <c r="O140" s="66"/>
      <c r="P140" s="66"/>
      <c r="Q140" s="66"/>
      <c r="R140" s="66"/>
      <c r="S140" s="77"/>
      <c r="T140" s="205"/>
    </row>
    <row r="141" spans="1:21" ht="12.6">
      <c r="A141" s="12"/>
      <c r="B141" s="4"/>
      <c r="C141" s="167"/>
      <c r="D141" s="1" t="s">
        <v>188</v>
      </c>
      <c r="E141" s="21"/>
      <c r="F141" s="59"/>
      <c r="G141" s="21"/>
      <c r="H141" s="21"/>
      <c r="J141" s="21"/>
      <c r="K141" s="21"/>
      <c r="L141" s="21"/>
      <c r="M141" s="21"/>
      <c r="Q141" s="68"/>
      <c r="R141" s="68"/>
      <c r="S141" s="174"/>
      <c r="T141" s="17">
        <f>SUM(T137:T140)</f>
        <v>0</v>
      </c>
    </row>
    <row r="142" spans="1:21">
      <c r="A142" s="12"/>
      <c r="B142" t="s">
        <v>7</v>
      </c>
      <c r="C142" s="1"/>
      <c r="I142" s="62"/>
      <c r="J142" s="62"/>
      <c r="K142" s="62"/>
      <c r="L142" s="62"/>
      <c r="M142" s="62"/>
      <c r="N142" s="62"/>
      <c r="O142" s="62"/>
      <c r="P142" s="62"/>
      <c r="Q142" s="62"/>
      <c r="R142" s="62"/>
      <c r="S142" s="78"/>
      <c r="T142" s="205"/>
    </row>
    <row r="143" spans="1:21" ht="12.6">
      <c r="A143" s="12"/>
      <c r="C143" s="1" t="s">
        <v>69</v>
      </c>
      <c r="J143" s="319" t="s">
        <v>575</v>
      </c>
      <c r="S143" s="3" t="s">
        <v>4</v>
      </c>
      <c r="T143" s="27">
        <f>Cash+AR+Inv+Oca</f>
        <v>0</v>
      </c>
    </row>
    <row r="144" spans="1:21">
      <c r="A144" s="12"/>
      <c r="B144" s="4" t="s">
        <v>576</v>
      </c>
      <c r="C144" s="1"/>
      <c r="F144" s="4" t="s">
        <v>577</v>
      </c>
      <c r="Q144" s="10"/>
      <c r="R144" s="2"/>
      <c r="S144" s="10"/>
      <c r="T144" s="215"/>
    </row>
    <row r="145" spans="1:26" ht="12.6">
      <c r="A145" s="12"/>
      <c r="B145" s="4" t="s">
        <v>578</v>
      </c>
      <c r="C145" s="1"/>
      <c r="J145" s="36"/>
      <c r="O145" t="s">
        <v>577</v>
      </c>
      <c r="S145" s="10"/>
      <c r="T145" s="205"/>
    </row>
    <row r="146" spans="1:26" ht="12.6">
      <c r="A146" s="12"/>
      <c r="C146" s="1" t="s">
        <v>68</v>
      </c>
      <c r="E146" s="21"/>
      <c r="F146" s="21"/>
      <c r="G146" s="21"/>
      <c r="H146" s="319" t="s">
        <v>579</v>
      </c>
      <c r="I146" s="21"/>
      <c r="J146" s="21"/>
      <c r="K146" s="21"/>
      <c r="L146" s="21"/>
      <c r="M146" s="21"/>
      <c r="O146" s="21"/>
      <c r="S146" s="3" t="s">
        <v>4</v>
      </c>
      <c r="T146" s="27">
        <f>CA+Fixed+OFA</f>
        <v>0</v>
      </c>
    </row>
    <row r="147" spans="1:26">
      <c r="A147" s="12"/>
      <c r="B147" s="72" t="s">
        <v>8</v>
      </c>
      <c r="C147" s="1"/>
      <c r="S147" s="73"/>
    </row>
    <row r="148" spans="1:26">
      <c r="A148" s="12"/>
      <c r="B148" s="1" t="s">
        <v>9</v>
      </c>
      <c r="C148" s="1"/>
      <c r="S148" s="73"/>
    </row>
    <row r="149" spans="1:26">
      <c r="A149" s="12"/>
      <c r="B149" t="s">
        <v>73</v>
      </c>
      <c r="H149" s="4" t="s">
        <v>583</v>
      </c>
      <c r="J149" s="62"/>
      <c r="K149" s="62"/>
      <c r="L149" s="62"/>
      <c r="M149" s="62"/>
      <c r="N149" s="62"/>
      <c r="O149" s="62"/>
      <c r="P149" s="62"/>
      <c r="Q149" s="62"/>
      <c r="R149" s="62"/>
      <c r="S149" s="80" t="s">
        <v>4</v>
      </c>
      <c r="T149" s="205"/>
    </row>
    <row r="150" spans="1:26" ht="12.6">
      <c r="A150" s="12"/>
      <c r="B150" s="4" t="s">
        <v>584</v>
      </c>
      <c r="C150" s="1"/>
      <c r="G150" s="59"/>
      <c r="J150" s="68"/>
      <c r="K150" s="68"/>
      <c r="L150" s="68"/>
      <c r="M150" s="68"/>
      <c r="N150" s="68"/>
      <c r="O150" s="68"/>
      <c r="P150" s="68"/>
      <c r="Q150" s="320" t="s">
        <v>585</v>
      </c>
      <c r="R150" s="66"/>
      <c r="S150" s="79"/>
      <c r="T150" s="205"/>
    </row>
    <row r="151" spans="1:26">
      <c r="A151" s="12"/>
      <c r="B151" t="s">
        <v>74</v>
      </c>
      <c r="C151" s="1"/>
      <c r="J151" s="4" t="s">
        <v>586</v>
      </c>
      <c r="O151" s="62"/>
      <c r="P151" s="62"/>
      <c r="Q151" s="62"/>
      <c r="R151" s="66"/>
      <c r="S151" s="79"/>
      <c r="T151" s="205"/>
    </row>
    <row r="152" spans="1:26">
      <c r="A152" s="12"/>
      <c r="C152" s="1" t="s">
        <v>70</v>
      </c>
      <c r="O152" s="68"/>
      <c r="P152" s="68"/>
      <c r="Q152" s="68"/>
      <c r="R152" s="68"/>
      <c r="S152" s="82" t="s">
        <v>4</v>
      </c>
      <c r="T152" s="27">
        <f>AP+NP+Ocl</f>
        <v>0</v>
      </c>
    </row>
    <row r="153" spans="1:26">
      <c r="A153" s="12"/>
      <c r="B153" t="s">
        <v>75</v>
      </c>
      <c r="C153" s="1"/>
      <c r="I153" s="4" t="s">
        <v>587</v>
      </c>
      <c r="O153" s="62"/>
      <c r="P153" s="62"/>
      <c r="Q153" s="62"/>
      <c r="R153" s="62"/>
      <c r="S153" s="81"/>
      <c r="T153" s="205"/>
    </row>
    <row r="154" spans="1:26">
      <c r="A154" s="12"/>
      <c r="B154" t="s">
        <v>33</v>
      </c>
      <c r="C154" s="1"/>
      <c r="J154" s="62"/>
      <c r="K154" s="62"/>
      <c r="L154" s="62"/>
      <c r="M154" s="62"/>
      <c r="N154" s="62"/>
      <c r="O154" s="62"/>
      <c r="P154" s="66"/>
      <c r="Q154" s="66"/>
      <c r="R154" s="66"/>
      <c r="S154" s="79"/>
      <c r="T154" s="205"/>
    </row>
    <row r="155" spans="1:26">
      <c r="A155" s="12"/>
      <c r="B155" t="s">
        <v>76</v>
      </c>
      <c r="C155" s="1"/>
      <c r="K155" s="4" t="s">
        <v>588</v>
      </c>
      <c r="S155" s="10"/>
      <c r="T155" s="13">
        <f>(Liab-(CL+LTL+Loan))</f>
        <v>0</v>
      </c>
    </row>
    <row r="156" spans="1:26">
      <c r="A156" s="12"/>
      <c r="C156" s="1" t="s">
        <v>71</v>
      </c>
      <c r="S156" s="3" t="s">
        <v>4</v>
      </c>
      <c r="T156" s="27">
        <f>TA</f>
        <v>0</v>
      </c>
    </row>
    <row r="158" spans="1:26" ht="15">
      <c r="A158" s="326"/>
      <c r="B158" s="478" t="s">
        <v>668</v>
      </c>
      <c r="C158" s="326"/>
      <c r="D158" s="326"/>
      <c r="E158" s="326"/>
      <c r="F158" s="326"/>
      <c r="G158" s="326"/>
      <c r="H158" s="326"/>
      <c r="I158" s="326"/>
      <c r="J158" s="326"/>
      <c r="K158" s="326"/>
      <c r="L158" s="326"/>
      <c r="M158" s="326"/>
      <c r="N158" s="326"/>
      <c r="O158" s="326"/>
      <c r="P158" s="326"/>
      <c r="Q158" s="326"/>
      <c r="R158" s="326"/>
      <c r="S158" s="326"/>
      <c r="T158" s="326"/>
      <c r="U158" s="326"/>
    </row>
    <row r="159" spans="1:26" ht="18" customHeight="1">
      <c r="B159" s="479"/>
    </row>
    <row r="160" spans="1:26" ht="25" hidden="1" customHeight="1">
      <c r="B160" s="487" t="s">
        <v>670</v>
      </c>
      <c r="C160" s="486"/>
      <c r="D160" s="102"/>
      <c r="E160" s="102"/>
      <c r="F160" s="102"/>
      <c r="G160" s="102"/>
      <c r="H160" s="102"/>
      <c r="I160" s="102"/>
      <c r="J160" s="102"/>
      <c r="K160" s="102"/>
      <c r="L160" s="102"/>
      <c r="M160" s="102"/>
      <c r="N160" s="102"/>
      <c r="O160" s="102"/>
      <c r="P160" s="102"/>
      <c r="Q160" s="497" t="s">
        <v>671</v>
      </c>
      <c r="R160" s="497"/>
      <c r="S160" s="497"/>
      <c r="T160" s="498"/>
      <c r="U160" s="488"/>
      <c r="V160" s="485"/>
      <c r="W160" s="485"/>
      <c r="X160" s="485"/>
      <c r="Y160" s="485"/>
      <c r="Z160" s="485"/>
    </row>
    <row r="161" spans="1:20" ht="25" customHeight="1">
      <c r="B161" s="294"/>
      <c r="C161" s="493"/>
      <c r="D161" s="172"/>
      <c r="E161" s="172"/>
      <c r="F161" s="172"/>
      <c r="G161" s="172"/>
      <c r="H161" s="172"/>
      <c r="I161" s="172"/>
      <c r="J161" s="172"/>
      <c r="K161" s="172"/>
      <c r="L161" s="172"/>
      <c r="M161" s="172"/>
      <c r="N161" s="493"/>
      <c r="O161" s="493"/>
      <c r="Q161" s="494"/>
      <c r="R161" s="494"/>
      <c r="S161" s="494"/>
      <c r="T161" s="494"/>
    </row>
    <row r="163" spans="1:20" ht="15" hidden="1">
      <c r="A163" s="20" t="s">
        <v>17</v>
      </c>
      <c r="B163" s="1" t="s">
        <v>197</v>
      </c>
      <c r="C163" s="160"/>
      <c r="O163" s="161"/>
      <c r="P163" s="23"/>
      <c r="R163" s="205"/>
      <c r="S163" s="153"/>
      <c r="T163" s="221" t="str">
        <f>VLOOKUP(R163,'Deleted in 2022'!Y15:Z21,2)</f>
        <v>Enter 1-5</v>
      </c>
    </row>
    <row r="164" spans="1:20" ht="15" hidden="1">
      <c r="A164" s="12"/>
      <c r="B164" s="165" t="s">
        <v>152</v>
      </c>
      <c r="C164" s="160"/>
      <c r="O164" s="161"/>
      <c r="P164" s="23"/>
      <c r="R164" s="23"/>
    </row>
    <row r="165" spans="1:20" ht="15" hidden="1">
      <c r="A165" s="20" t="s">
        <v>18</v>
      </c>
      <c r="B165" s="4" t="s">
        <v>172</v>
      </c>
      <c r="C165" s="160"/>
      <c r="O165" s="161"/>
      <c r="P165" s="23"/>
      <c r="R165" s="205"/>
      <c r="S165" s="4" t="s">
        <v>171</v>
      </c>
    </row>
    <row r="166" spans="1:20" ht="15" hidden="1">
      <c r="A166" s="20"/>
      <c r="B166" s="4"/>
      <c r="C166" s="160"/>
      <c r="O166" s="161"/>
      <c r="P166" s="23"/>
      <c r="R166" s="2"/>
      <c r="S166" s="4"/>
    </row>
    <row r="167" spans="1:20" ht="12.6" hidden="1">
      <c r="A167" s="20" t="s">
        <v>19</v>
      </c>
      <c r="B167" s="162" t="s">
        <v>174</v>
      </c>
      <c r="C167" s="1"/>
      <c r="D167" s="1"/>
      <c r="E167" s="1"/>
      <c r="F167" s="1"/>
      <c r="G167" s="1"/>
      <c r="H167" s="1"/>
      <c r="I167" s="1"/>
      <c r="J167" s="171" t="s">
        <v>173</v>
      </c>
      <c r="K167" s="1"/>
      <c r="L167" s="1"/>
      <c r="M167" s="1"/>
      <c r="N167" s="1"/>
      <c r="O167" s="1"/>
      <c r="P167" s="1"/>
      <c r="Q167" s="1"/>
      <c r="R167" s="170"/>
      <c r="S167" s="23"/>
    </row>
    <row r="168" spans="1:20" hidden="1">
      <c r="A168" s="20"/>
      <c r="B168" s="4" t="s">
        <v>176</v>
      </c>
      <c r="D168" s="21"/>
      <c r="E168" s="21"/>
      <c r="F168" s="21"/>
      <c r="G168" s="21"/>
      <c r="H168" s="21"/>
      <c r="I168" s="64"/>
      <c r="J168" s="64"/>
      <c r="K168" s="64"/>
      <c r="L168" s="64"/>
      <c r="M168" s="64"/>
      <c r="N168" s="62"/>
      <c r="O168" s="62"/>
      <c r="P168" s="62"/>
      <c r="Q168" s="63"/>
      <c r="R168" s="205"/>
      <c r="S168" s="4" t="s">
        <v>175</v>
      </c>
    </row>
    <row r="169" spans="1:20" hidden="1">
      <c r="A169" s="20"/>
      <c r="B169" s="4" t="s">
        <v>177</v>
      </c>
      <c r="L169" s="66"/>
      <c r="M169" s="66"/>
      <c r="N169" s="65"/>
      <c r="O169" s="66"/>
      <c r="P169" s="66"/>
      <c r="Q169" s="67"/>
      <c r="R169" s="205"/>
      <c r="S169" s="4" t="s">
        <v>175</v>
      </c>
    </row>
    <row r="170" spans="1:20" ht="36" customHeight="1">
      <c r="B170" s="495"/>
      <c r="C170" s="496"/>
      <c r="D170" s="496"/>
      <c r="E170" s="496"/>
      <c r="F170" s="496"/>
      <c r="G170" s="496"/>
      <c r="H170" s="496"/>
      <c r="I170" s="496"/>
      <c r="J170" s="496"/>
      <c r="K170" s="496"/>
      <c r="L170" s="496"/>
      <c r="M170" s="496"/>
      <c r="N170" s="496"/>
      <c r="O170" s="496"/>
      <c r="P170" s="496"/>
      <c r="Q170" s="496"/>
      <c r="R170" s="496"/>
      <c r="S170" s="496"/>
      <c r="T170" s="496"/>
    </row>
  </sheetData>
  <sheetProtection password="CF42" sheet="1" objects="1" scenarios="1" selectLockedCells="1"/>
  <mergeCells count="19">
    <mergeCell ref="S1:T1"/>
    <mergeCell ref="P32:T32"/>
    <mergeCell ref="P23:T23"/>
    <mergeCell ref="P25:T25"/>
    <mergeCell ref="P26:T26"/>
    <mergeCell ref="P27:T27"/>
    <mergeCell ref="P28:T28"/>
    <mergeCell ref="S3:T3"/>
    <mergeCell ref="B19:P19"/>
    <mergeCell ref="B170:T170"/>
    <mergeCell ref="Q160:T160"/>
    <mergeCell ref="P29:T29"/>
    <mergeCell ref="S2:T2"/>
    <mergeCell ref="P31:T31"/>
    <mergeCell ref="P24:T24"/>
    <mergeCell ref="P30:T30"/>
    <mergeCell ref="K4:N4"/>
    <mergeCell ref="L53:M53"/>
    <mergeCell ref="Q17:T17"/>
  </mergeCells>
  <phoneticPr fontId="0" type="noConversion"/>
  <hyperlinks>
    <hyperlink ref="Q17" r:id="rId1"/>
    <hyperlink ref="Q160" r:id="rId2"/>
    <hyperlink ref="P20" r:id="rId3"/>
    <hyperlink ref="B19:P19" r:id="rId4" display="Upload with Dropbox"/>
  </hyperlinks>
  <pageMargins left="0.5" right="0.5" top="0.5" bottom="0.5" header="0.5" footer="0.5"/>
  <pageSetup scale="93" orientation="portrait" r:id="rId5"/>
  <headerFooter alignWithMargins="0"/>
  <rowBreaks count="2" manualBreakCount="2">
    <brk id="54" max="19" man="1"/>
    <brk id="121" max="19" man="1"/>
  </rowBreaks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showGridLines="0" showRowColHeaders="0" zoomScale="90" zoomScaleNormal="85" zoomScaleSheetLayoutView="85" workbookViewId="0"/>
  </sheetViews>
  <sheetFormatPr defaultColWidth="0" defaultRowHeight="12.3"/>
  <cols>
    <col min="1" max="1" width="3.71875" customWidth="1"/>
    <col min="2" max="6" width="10.71875" customWidth="1"/>
    <col min="7" max="7" width="2.71875" customWidth="1"/>
    <col min="8" max="8" width="12.71875" customWidth="1"/>
    <col min="9" max="9" width="2.71875" customWidth="1"/>
    <col min="10" max="10" width="12.71875" customWidth="1"/>
    <col min="11" max="11" width="2.71875" customWidth="1"/>
  </cols>
  <sheetData>
    <row r="1" spans="1:11" ht="18" customHeight="1">
      <c r="A1" s="26"/>
      <c r="B1" s="26"/>
      <c r="C1" s="26"/>
      <c r="D1" s="26"/>
      <c r="E1" s="58" t="s">
        <v>22</v>
      </c>
      <c r="F1" s="26"/>
      <c r="G1" s="26"/>
      <c r="H1" s="26"/>
      <c r="I1" s="26"/>
      <c r="J1" s="26"/>
      <c r="K1" s="26"/>
    </row>
    <row r="2" spans="1:11" ht="18" customHeight="1">
      <c r="A2" s="26"/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ht="12.75" customHeight="1">
      <c r="B3" s="4" t="s">
        <v>39</v>
      </c>
    </row>
    <row r="4" spans="1:11" ht="12.75" customHeight="1">
      <c r="B4" t="s">
        <v>53</v>
      </c>
    </row>
    <row r="5" spans="1:11">
      <c r="B5" t="s">
        <v>52</v>
      </c>
    </row>
    <row r="6" spans="1:11">
      <c r="B6" t="s">
        <v>23</v>
      </c>
    </row>
    <row r="8" spans="1:11">
      <c r="B8" s="1" t="s">
        <v>21</v>
      </c>
    </row>
    <row r="10" spans="1:11">
      <c r="A10" s="57" t="s">
        <v>17</v>
      </c>
      <c r="B10" s="4" t="s">
        <v>54</v>
      </c>
    </row>
    <row r="11" spans="1:11">
      <c r="A11" s="57"/>
      <c r="B11" s="4" t="s">
        <v>151</v>
      </c>
    </row>
    <row r="12" spans="1:11">
      <c r="A12" s="57"/>
      <c r="B12" s="4" t="s">
        <v>55</v>
      </c>
    </row>
    <row r="13" spans="1:11">
      <c r="A13" s="57"/>
      <c r="B13" s="4" t="s">
        <v>56</v>
      </c>
    </row>
    <row r="14" spans="1:11">
      <c r="A14" s="57"/>
    </row>
    <row r="15" spans="1:11">
      <c r="A15" s="57" t="s">
        <v>18</v>
      </c>
      <c r="B15" s="4" t="s">
        <v>26</v>
      </c>
    </row>
    <row r="16" spans="1:11">
      <c r="A16" s="57"/>
      <c r="B16" s="4" t="s">
        <v>79</v>
      </c>
    </row>
    <row r="17" spans="1:2">
      <c r="A17" s="57"/>
      <c r="B17" s="4" t="s">
        <v>78</v>
      </c>
    </row>
    <row r="18" spans="1:2">
      <c r="A18" s="57"/>
    </row>
    <row r="19" spans="1:2">
      <c r="A19" s="57" t="s">
        <v>19</v>
      </c>
      <c r="B19" s="4" t="s">
        <v>24</v>
      </c>
    </row>
    <row r="20" spans="1:2">
      <c r="A20" s="57"/>
      <c r="B20" s="4" t="s">
        <v>25</v>
      </c>
    </row>
    <row r="22" spans="1:2">
      <c r="B22" s="4" t="s">
        <v>57</v>
      </c>
    </row>
    <row r="23" spans="1:2">
      <c r="B23" s="4" t="s">
        <v>27</v>
      </c>
    </row>
    <row r="24" spans="1:2">
      <c r="B24" s="4" t="s">
        <v>28</v>
      </c>
    </row>
    <row r="25" spans="1:2">
      <c r="B25" s="4" t="s">
        <v>58</v>
      </c>
    </row>
    <row r="26" spans="1:2">
      <c r="B26" s="4" t="s">
        <v>59</v>
      </c>
    </row>
  </sheetData>
  <sheetProtection password="CF42" sheet="1" objects="1" scenarios="1" selectLockedCells="1"/>
  <phoneticPr fontId="0" type="noConversion"/>
  <pageMargins left="0.5" right="0.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39"/>
  <sheetViews>
    <sheetView showGridLines="0" showRowColHeaders="0" zoomScaleNormal="100" workbookViewId="0">
      <selection activeCell="R3" sqref="R3"/>
    </sheetView>
  </sheetViews>
  <sheetFormatPr defaultColWidth="0" defaultRowHeight="12.3" zeroHeight="1"/>
  <cols>
    <col min="1" max="1" width="3.71875" style="12" customWidth="1"/>
    <col min="2" max="15" width="2.71875" customWidth="1"/>
    <col min="16" max="16" width="15.71875" customWidth="1"/>
    <col min="17" max="17" width="2.71875" customWidth="1"/>
    <col min="18" max="18" width="12.5546875" customWidth="1"/>
    <col min="19" max="19" width="2.71875" customWidth="1"/>
    <col min="20" max="20" width="18.71875" customWidth="1"/>
    <col min="21" max="21" width="3" customWidth="1"/>
    <col min="22" max="22" width="18.71875" hidden="1" customWidth="1"/>
    <col min="23" max="23" width="2.71875" hidden="1" customWidth="1"/>
    <col min="24" max="24" width="25.71875" hidden="1" customWidth="1"/>
    <col min="25" max="26" width="9.1640625" hidden="1" customWidth="1"/>
    <col min="27" max="16384" width="8.83203125" hidden="1"/>
  </cols>
  <sheetData>
    <row r="1" spans="1:26" ht="18" customHeight="1">
      <c r="A1" s="480"/>
      <c r="B1" s="481" t="s">
        <v>669</v>
      </c>
      <c r="C1" s="160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160"/>
      <c r="P1" s="160"/>
      <c r="Q1" s="55"/>
      <c r="R1" s="482"/>
      <c r="S1" s="55"/>
      <c r="T1" s="55"/>
      <c r="U1" s="55"/>
    </row>
    <row r="2" spans="1:26" ht="6" customHeight="1">
      <c r="B2" s="159"/>
      <c r="C2" s="160"/>
      <c r="O2" s="161"/>
      <c r="P2" s="23"/>
      <c r="R2" s="23"/>
    </row>
    <row r="3" spans="1:26" ht="18" customHeight="1">
      <c r="A3" s="20" t="s">
        <v>17</v>
      </c>
      <c r="B3" s="1" t="s">
        <v>197</v>
      </c>
      <c r="C3" s="160"/>
      <c r="O3" s="161"/>
      <c r="P3" s="23"/>
      <c r="R3" s="205"/>
      <c r="S3" s="153"/>
      <c r="T3" s="221"/>
    </row>
    <row r="4" spans="1:26" ht="18" customHeight="1">
      <c r="B4" s="165" t="s">
        <v>152</v>
      </c>
      <c r="C4" s="160"/>
      <c r="O4" s="161"/>
      <c r="P4" s="23"/>
      <c r="R4" s="23"/>
    </row>
    <row r="5" spans="1:26" ht="13.15" customHeight="1">
      <c r="A5" s="20" t="s">
        <v>18</v>
      </c>
      <c r="B5" s="4" t="s">
        <v>172</v>
      </c>
      <c r="C5" s="160"/>
      <c r="O5" s="161"/>
      <c r="P5" s="23"/>
      <c r="R5" s="205"/>
      <c r="S5" s="4" t="s">
        <v>171</v>
      </c>
    </row>
    <row r="6" spans="1:26" ht="13.15" customHeight="1">
      <c r="A6" s="20"/>
      <c r="B6" s="4"/>
      <c r="C6" s="160"/>
      <c r="O6" s="161"/>
      <c r="P6" s="23"/>
      <c r="R6" s="2"/>
      <c r="S6" s="4"/>
    </row>
    <row r="7" spans="1:26" ht="13.15" customHeight="1">
      <c r="A7" s="20" t="s">
        <v>19</v>
      </c>
      <c r="B7" s="162" t="s">
        <v>174</v>
      </c>
      <c r="C7" s="1"/>
      <c r="D7" s="1"/>
      <c r="E7" s="1"/>
      <c r="F7" s="1"/>
      <c r="G7" s="1"/>
      <c r="H7" s="1"/>
      <c r="I7" s="1"/>
      <c r="J7" s="171" t="s">
        <v>173</v>
      </c>
      <c r="K7" s="1"/>
      <c r="L7" s="1"/>
      <c r="M7" s="1"/>
      <c r="N7" s="1"/>
      <c r="O7" s="1"/>
      <c r="P7" s="1"/>
      <c r="Q7" s="1"/>
      <c r="R7" s="170"/>
      <c r="S7" s="23"/>
    </row>
    <row r="8" spans="1:26" ht="13.15" customHeight="1">
      <c r="A8" s="20"/>
      <c r="B8" s="4" t="s">
        <v>176</v>
      </c>
      <c r="D8" s="21"/>
      <c r="E8" s="21"/>
      <c r="F8" s="21"/>
      <c r="G8" s="21"/>
      <c r="H8" s="21"/>
      <c r="I8" s="64"/>
      <c r="J8" s="64"/>
      <c r="K8" s="64"/>
      <c r="L8" s="64"/>
      <c r="M8" s="64"/>
      <c r="N8" s="62"/>
      <c r="O8" s="62"/>
      <c r="P8" s="62"/>
      <c r="Q8" s="63"/>
      <c r="R8" s="205"/>
      <c r="S8" s="4" t="s">
        <v>175</v>
      </c>
    </row>
    <row r="9" spans="1:26" ht="13.15" customHeight="1">
      <c r="A9" s="20"/>
      <c r="B9" s="4" t="s">
        <v>177</v>
      </c>
      <c r="L9" s="66"/>
      <c r="M9" s="66"/>
      <c r="N9" s="65"/>
      <c r="O9" s="66"/>
      <c r="P9" s="66"/>
      <c r="Q9" s="67"/>
      <c r="R9" s="205"/>
      <c r="S9" s="4" t="s">
        <v>175</v>
      </c>
    </row>
    <row r="10" spans="1:26" ht="6" customHeight="1">
      <c r="Y10" s="4">
        <v>0</v>
      </c>
      <c r="Z10" s="4" t="s">
        <v>77</v>
      </c>
    </row>
    <row r="11" spans="1:26" ht="15" customHeight="1">
      <c r="A11" s="20" t="s">
        <v>20</v>
      </c>
      <c r="B11" s="1" t="s">
        <v>667</v>
      </c>
      <c r="T11" s="18"/>
      <c r="Y11" s="4">
        <v>8</v>
      </c>
      <c r="Z11" s="4" t="s">
        <v>46</v>
      </c>
    </row>
    <row r="12" spans="1:26" ht="13.15" customHeight="1">
      <c r="B12" s="166" t="s">
        <v>154</v>
      </c>
      <c r="F12" s="59" t="s">
        <v>295</v>
      </c>
      <c r="Q12" s="63"/>
      <c r="R12" s="243" t="s">
        <v>644</v>
      </c>
      <c r="T12" s="2"/>
      <c r="Y12" s="4"/>
      <c r="Z12" s="4"/>
    </row>
    <row r="13" spans="1:26" ht="13.15" customHeight="1">
      <c r="B13" s="421" t="s">
        <v>643</v>
      </c>
      <c r="N13" s="62"/>
      <c r="O13" s="62"/>
      <c r="P13" s="62"/>
      <c r="Q13" s="67"/>
      <c r="R13" s="4" t="s">
        <v>645</v>
      </c>
      <c r="T13" s="2"/>
      <c r="Y13" s="4"/>
      <c r="Z13" s="4"/>
    </row>
    <row r="14" spans="1:26" ht="13.15" customHeight="1">
      <c r="B14" s="421" t="s">
        <v>297</v>
      </c>
      <c r="N14" s="68"/>
      <c r="O14" s="68"/>
      <c r="P14" s="177"/>
      <c r="Q14" s="67"/>
      <c r="R14" s="243" t="s">
        <v>644</v>
      </c>
      <c r="T14" s="2"/>
      <c r="Y14" s="4"/>
      <c r="Z14" s="4"/>
    </row>
    <row r="15" spans="1:26" ht="13.15" customHeight="1">
      <c r="B15" s="424" t="s">
        <v>298</v>
      </c>
      <c r="M15" s="62"/>
      <c r="N15" s="62"/>
      <c r="O15" s="62"/>
      <c r="R15" s="4" t="s">
        <v>664</v>
      </c>
      <c r="T15" s="2"/>
      <c r="Y15" s="4">
        <v>0</v>
      </c>
      <c r="Z15" s="4" t="s">
        <v>317</v>
      </c>
    </row>
    <row r="16" spans="1:26" ht="13.15" customHeight="1">
      <c r="B16" s="424" t="s">
        <v>299</v>
      </c>
      <c r="M16" s="66"/>
      <c r="N16" s="66"/>
      <c r="O16" s="66"/>
      <c r="P16" s="66"/>
      <c r="Q16" s="67"/>
      <c r="R16" s="4" t="s">
        <v>664</v>
      </c>
      <c r="T16" s="2"/>
      <c r="Y16" s="4">
        <v>1</v>
      </c>
      <c r="Z16" s="4" t="s">
        <v>318</v>
      </c>
    </row>
    <row r="17" spans="1:26" ht="13.15" customHeight="1">
      <c r="B17" s="424" t="s">
        <v>156</v>
      </c>
      <c r="D17" s="21"/>
      <c r="E17" s="21"/>
      <c r="F17" s="21"/>
      <c r="G17" s="59"/>
      <c r="H17" s="224"/>
      <c r="I17" s="64"/>
      <c r="J17" s="64"/>
      <c r="K17" s="64"/>
      <c r="L17" s="64"/>
      <c r="M17" s="65"/>
      <c r="N17" s="66"/>
      <c r="O17" s="66"/>
      <c r="P17" s="66"/>
      <c r="Q17" s="67"/>
      <c r="R17" s="4" t="s">
        <v>649</v>
      </c>
      <c r="T17" s="2"/>
      <c r="Y17" s="4">
        <v>2</v>
      </c>
      <c r="Z17" s="4" t="s">
        <v>319</v>
      </c>
    </row>
    <row r="18" spans="1:26" ht="13.15" customHeight="1">
      <c r="B18" s="422" t="s">
        <v>300</v>
      </c>
      <c r="I18" s="68"/>
      <c r="J18" s="68"/>
      <c r="K18" s="68"/>
      <c r="L18" s="68"/>
      <c r="M18" s="68"/>
      <c r="N18" s="68"/>
      <c r="O18" s="68"/>
      <c r="P18" s="68"/>
      <c r="Q18" s="63"/>
      <c r="R18" s="4" t="s">
        <v>664</v>
      </c>
      <c r="T18" s="2"/>
      <c r="Y18" s="4">
        <v>3</v>
      </c>
      <c r="Z18" s="4" t="s">
        <v>320</v>
      </c>
    </row>
    <row r="19" spans="1:26" ht="13.15" customHeight="1">
      <c r="B19" s="422" t="s">
        <v>335</v>
      </c>
      <c r="K19" s="62"/>
      <c r="L19" s="62"/>
      <c r="M19" s="62"/>
      <c r="N19" s="62"/>
      <c r="O19" s="62"/>
      <c r="P19" s="62"/>
      <c r="Q19" s="63"/>
      <c r="R19" s="243" t="s">
        <v>644</v>
      </c>
      <c r="T19" s="2"/>
      <c r="Y19" s="4"/>
      <c r="Z19" s="4"/>
    </row>
    <row r="20" spans="1:26" ht="12.75" customHeight="1">
      <c r="B20" s="423" t="s">
        <v>646</v>
      </c>
      <c r="M20" s="68"/>
      <c r="N20" s="68"/>
      <c r="O20" s="68"/>
      <c r="P20" s="68"/>
      <c r="Q20" s="225"/>
      <c r="R20" s="4" t="s">
        <v>647</v>
      </c>
      <c r="T20" s="18"/>
      <c r="U20" s="16"/>
      <c r="Y20" s="4">
        <v>4</v>
      </c>
      <c r="Z20" s="4" t="s">
        <v>62</v>
      </c>
    </row>
    <row r="21" spans="1:26" ht="12.75" customHeight="1">
      <c r="A21" s="20"/>
      <c r="T21" s="19"/>
      <c r="U21" s="11"/>
      <c r="Y21" s="4">
        <v>5</v>
      </c>
      <c r="Z21" s="4" t="s">
        <v>63</v>
      </c>
    </row>
    <row r="22" spans="1:26" ht="6" customHeight="1">
      <c r="A22" s="20"/>
      <c r="C22" s="1"/>
      <c r="R22" s="19"/>
      <c r="T22" s="19"/>
      <c r="U22" s="11"/>
      <c r="Y22" s="4"/>
      <c r="Z22" s="4"/>
    </row>
    <row r="23" spans="1:26" ht="13.15" customHeight="1">
      <c r="A23" s="20" t="s">
        <v>29</v>
      </c>
      <c r="B23" s="164" t="s">
        <v>301</v>
      </c>
      <c r="U23" s="23"/>
    </row>
    <row r="24" spans="1:26" ht="13.15" customHeight="1">
      <c r="A24" s="20"/>
      <c r="B24" s="166" t="s">
        <v>154</v>
      </c>
      <c r="F24" s="59" t="s">
        <v>295</v>
      </c>
      <c r="R24" s="243" t="s">
        <v>644</v>
      </c>
      <c r="U24" s="23"/>
    </row>
    <row r="25" spans="1:26" ht="13.15" customHeight="1">
      <c r="A25" s="20"/>
      <c r="B25" s="166" t="s">
        <v>296</v>
      </c>
      <c r="R25" s="4" t="s">
        <v>645</v>
      </c>
      <c r="U25" s="23"/>
    </row>
    <row r="26" spans="1:26" ht="13.15" customHeight="1">
      <c r="A26" s="20"/>
      <c r="B26" s="166" t="s">
        <v>297</v>
      </c>
      <c r="R26" s="243" t="s">
        <v>644</v>
      </c>
      <c r="U26" s="23"/>
    </row>
    <row r="27" spans="1:26" ht="13.15" customHeight="1">
      <c r="A27" s="20"/>
      <c r="B27" s="166" t="s">
        <v>298</v>
      </c>
      <c r="R27" s="4" t="s">
        <v>664</v>
      </c>
      <c r="U27" s="23"/>
    </row>
    <row r="28" spans="1:26" ht="13.15" customHeight="1">
      <c r="A28" s="20"/>
      <c r="B28" s="166" t="s">
        <v>299</v>
      </c>
      <c r="R28" s="4" t="s">
        <v>664</v>
      </c>
      <c r="U28" s="23"/>
    </row>
    <row r="29" spans="1:26" ht="13.15" customHeight="1">
      <c r="A29" s="20"/>
      <c r="B29" s="166" t="s">
        <v>156</v>
      </c>
      <c r="R29" s="366" t="s">
        <v>648</v>
      </c>
      <c r="U29" s="23"/>
    </row>
    <row r="30" spans="1:26" ht="13.15" customHeight="1">
      <c r="A30" s="20"/>
      <c r="B30" s="4" t="s">
        <v>300</v>
      </c>
      <c r="R30" s="4" t="s">
        <v>664</v>
      </c>
      <c r="U30" s="23"/>
    </row>
    <row r="31" spans="1:26" ht="13.15" customHeight="1">
      <c r="A31" s="20"/>
      <c r="B31" s="4" t="s">
        <v>335</v>
      </c>
      <c r="R31" s="243" t="s">
        <v>644</v>
      </c>
      <c r="U31" s="23"/>
    </row>
    <row r="32" spans="1:26" ht="13.15" customHeight="1">
      <c r="A32" s="20"/>
      <c r="B32" s="59" t="s">
        <v>339</v>
      </c>
      <c r="R32" s="4" t="s">
        <v>664</v>
      </c>
      <c r="U32" s="23"/>
    </row>
    <row r="33" spans="1:23" ht="13.15" customHeight="1">
      <c r="A33" s="20"/>
      <c r="B33" s="164"/>
      <c r="C33" s="164"/>
      <c r="U33" s="23"/>
    </row>
    <row r="34" spans="1:23">
      <c r="A34" s="429" t="s">
        <v>31</v>
      </c>
      <c r="B34" s="438" t="s">
        <v>155</v>
      </c>
      <c r="C34" s="426"/>
      <c r="D34" s="426"/>
      <c r="E34" s="426"/>
      <c r="F34" s="426"/>
      <c r="G34" s="426"/>
      <c r="H34" s="426"/>
      <c r="I34" s="426"/>
      <c r="J34" s="426"/>
      <c r="K34" s="426"/>
      <c r="L34" s="426"/>
      <c r="M34" s="426"/>
      <c r="N34" s="428"/>
      <c r="O34" s="426"/>
      <c r="P34" s="426"/>
      <c r="Q34" s="426"/>
      <c r="R34" s="440"/>
      <c r="U34" s="23"/>
    </row>
    <row r="35" spans="1:23" ht="15" customHeight="1">
      <c r="A35" s="426"/>
      <c r="B35" s="439" t="s">
        <v>161</v>
      </c>
      <c r="C35" s="426"/>
      <c r="D35" s="426"/>
      <c r="E35" s="426"/>
      <c r="F35" s="426"/>
      <c r="G35" s="426"/>
      <c r="H35" s="426"/>
      <c r="I35" s="426"/>
      <c r="J35" s="430"/>
      <c r="K35" s="430"/>
      <c r="L35" s="430"/>
      <c r="M35" s="430"/>
      <c r="N35" s="432"/>
      <c r="O35" s="430"/>
      <c r="P35" s="430"/>
      <c r="Q35" s="431"/>
      <c r="R35" s="452" t="s">
        <v>664</v>
      </c>
      <c r="U35" s="23"/>
    </row>
    <row r="36" spans="1:23" ht="12.75" customHeight="1">
      <c r="A36" s="427"/>
      <c r="B36" s="439" t="s">
        <v>162</v>
      </c>
      <c r="C36" s="426"/>
      <c r="D36" s="426"/>
      <c r="E36" s="426"/>
      <c r="F36" s="426"/>
      <c r="G36" s="426"/>
      <c r="H36" s="426"/>
      <c r="I36" s="426"/>
      <c r="J36" s="434"/>
      <c r="K36" s="434"/>
      <c r="L36" s="434"/>
      <c r="M36" s="434"/>
      <c r="N36" s="433"/>
      <c r="O36" s="434"/>
      <c r="P36" s="434"/>
      <c r="Q36" s="435" t="s">
        <v>4</v>
      </c>
      <c r="R36" s="425" t="s">
        <v>664</v>
      </c>
      <c r="T36" s="18"/>
      <c r="U36" s="11"/>
    </row>
    <row r="37" spans="1:23" ht="12.75" customHeight="1">
      <c r="A37" s="427"/>
      <c r="B37" s="439" t="s">
        <v>163</v>
      </c>
      <c r="C37" s="426"/>
      <c r="D37" s="426"/>
      <c r="E37" s="426"/>
      <c r="F37" s="426"/>
      <c r="G37" s="426"/>
      <c r="H37" s="426"/>
      <c r="I37" s="426"/>
      <c r="J37" s="436"/>
      <c r="K37" s="436"/>
      <c r="L37" s="436"/>
      <c r="M37" s="434"/>
      <c r="N37" s="433"/>
      <c r="O37" s="434"/>
      <c r="P37" s="434"/>
      <c r="Q37" s="435" t="s">
        <v>4</v>
      </c>
      <c r="R37" s="442" t="s">
        <v>644</v>
      </c>
      <c r="T37" s="18"/>
      <c r="U37" s="23"/>
    </row>
    <row r="38" spans="1:23" ht="12.75" customHeight="1">
      <c r="A38" s="427"/>
      <c r="B38" s="419" t="s">
        <v>666</v>
      </c>
      <c r="C38" s="426"/>
      <c r="D38" s="426"/>
      <c r="E38" s="426"/>
      <c r="F38" s="426"/>
      <c r="G38" s="426"/>
      <c r="H38" s="426"/>
      <c r="I38" s="426"/>
      <c r="J38" s="426"/>
      <c r="K38" s="426"/>
      <c r="L38" s="426"/>
      <c r="M38" s="436"/>
      <c r="N38" s="437"/>
      <c r="O38" s="436"/>
      <c r="P38" s="434"/>
      <c r="Q38" s="434"/>
      <c r="R38" s="418"/>
      <c r="T38" s="18"/>
      <c r="U38" s="23"/>
    </row>
    <row r="39" spans="1:23" ht="12.75" customHeight="1">
      <c r="A39" s="427"/>
      <c r="B39" s="439" t="s">
        <v>164</v>
      </c>
      <c r="C39" s="426"/>
      <c r="D39" s="426"/>
      <c r="E39" s="426"/>
      <c r="F39" s="426"/>
      <c r="G39" s="426"/>
      <c r="H39" s="426"/>
      <c r="I39" s="426"/>
      <c r="J39" s="426"/>
      <c r="K39" s="426"/>
      <c r="L39" s="426"/>
      <c r="M39" s="436"/>
      <c r="N39" s="437"/>
      <c r="O39" s="436"/>
      <c r="P39" s="434"/>
      <c r="Q39" s="435"/>
      <c r="R39" s="441" t="s">
        <v>644</v>
      </c>
      <c r="T39" s="18"/>
      <c r="U39" s="23"/>
    </row>
    <row r="40" spans="1:23" ht="12.75" customHeight="1">
      <c r="B40" s="419" t="s">
        <v>665</v>
      </c>
      <c r="T40" s="18"/>
      <c r="U40" s="16"/>
    </row>
    <row r="41" spans="1:23" ht="12.75" customHeight="1">
      <c r="T41" s="18"/>
      <c r="U41" s="16"/>
    </row>
    <row r="42" spans="1:23">
      <c r="A42" s="446" t="s">
        <v>180</v>
      </c>
      <c r="B42" s="450" t="s">
        <v>580</v>
      </c>
      <c r="C42" s="444"/>
      <c r="D42" s="444"/>
      <c r="E42" s="444"/>
      <c r="F42" s="444"/>
      <c r="G42" s="444"/>
      <c r="H42" s="444" t="s">
        <v>581</v>
      </c>
      <c r="I42" s="444"/>
      <c r="J42" s="444"/>
      <c r="K42" s="444"/>
      <c r="L42" s="444"/>
      <c r="M42" s="444"/>
      <c r="N42" s="444"/>
      <c r="O42" s="444"/>
      <c r="P42" s="444"/>
      <c r="Q42" s="444"/>
      <c r="R42" s="449"/>
      <c r="S42" s="444"/>
      <c r="T42" s="444"/>
      <c r="U42" s="16"/>
    </row>
    <row r="43" spans="1:23">
      <c r="A43" s="446"/>
      <c r="B43" s="444" t="s">
        <v>181</v>
      </c>
      <c r="C43" s="444"/>
      <c r="D43" s="444"/>
      <c r="E43" s="444"/>
      <c r="F43" s="444"/>
      <c r="G43" s="444"/>
      <c r="H43" s="444"/>
      <c r="I43" s="444"/>
      <c r="J43" s="444"/>
      <c r="K43" s="444"/>
      <c r="L43" s="444"/>
      <c r="M43" s="444"/>
      <c r="N43" s="444"/>
      <c r="O43" s="447"/>
      <c r="P43" s="447"/>
      <c r="Q43" s="447"/>
      <c r="R43" s="451" t="s">
        <v>644</v>
      </c>
      <c r="S43" s="443"/>
    </row>
    <row r="44" spans="1:23">
      <c r="A44" s="446"/>
      <c r="B44" s="444" t="s">
        <v>182</v>
      </c>
      <c r="C44" s="444"/>
      <c r="D44" s="444"/>
      <c r="E44" s="444"/>
      <c r="F44" s="444"/>
      <c r="G44" s="444"/>
      <c r="H44" s="444"/>
      <c r="I44" s="444"/>
      <c r="J44" s="444"/>
      <c r="K44" s="444"/>
      <c r="L44" s="444"/>
      <c r="M44" s="444"/>
      <c r="N44" s="444"/>
      <c r="O44" s="448"/>
      <c r="P44" s="448"/>
      <c r="Q44" s="448"/>
      <c r="R44" s="451" t="s">
        <v>644</v>
      </c>
      <c r="S44" s="443"/>
    </row>
    <row r="45" spans="1:23">
      <c r="A45" s="445"/>
      <c r="B45" s="444" t="s">
        <v>183</v>
      </c>
      <c r="C45" s="444"/>
      <c r="D45" s="444"/>
      <c r="E45" s="444"/>
      <c r="F45" s="444"/>
      <c r="G45" s="444"/>
      <c r="H45" s="444"/>
      <c r="I45" s="444"/>
      <c r="J45" s="444"/>
      <c r="K45" s="444"/>
      <c r="L45" s="444"/>
      <c r="M45" s="447"/>
      <c r="N45" s="447"/>
      <c r="O45" s="448"/>
      <c r="P45" s="448"/>
      <c r="Q45" s="448"/>
      <c r="R45" s="451" t="s">
        <v>644</v>
      </c>
      <c r="S45" s="417"/>
    </row>
    <row r="46" spans="1:23" ht="12.75" customHeight="1">
      <c r="T46" s="18"/>
      <c r="U46" s="23"/>
    </row>
    <row r="47" spans="1:23" ht="17.100000000000001">
      <c r="A47" s="472" t="s">
        <v>650</v>
      </c>
      <c r="B47" s="473" t="s">
        <v>60</v>
      </c>
      <c r="C47" s="454"/>
      <c r="D47" s="454"/>
      <c r="E47" s="454"/>
      <c r="F47" s="454"/>
      <c r="G47" s="454"/>
      <c r="H47" s="454"/>
      <c r="I47" s="454"/>
      <c r="J47" s="471" t="s">
        <v>651</v>
      </c>
      <c r="K47" s="454"/>
      <c r="L47" s="454"/>
      <c r="M47" s="462"/>
      <c r="N47" s="462"/>
      <c r="O47" s="462"/>
      <c r="P47" s="454"/>
      <c r="Q47" s="454"/>
      <c r="R47" s="454"/>
      <c r="S47" s="456"/>
      <c r="T47" s="454"/>
      <c r="U47" s="23"/>
    </row>
    <row r="48" spans="1:23">
      <c r="A48" s="457"/>
      <c r="B48" s="476" t="s">
        <v>659</v>
      </c>
      <c r="C48" s="474"/>
      <c r="D48" s="474"/>
      <c r="E48" s="474"/>
      <c r="F48" s="474"/>
      <c r="G48" s="474"/>
      <c r="H48" s="474"/>
      <c r="I48" s="474"/>
      <c r="J48" s="474"/>
      <c r="K48" s="474"/>
      <c r="L48" s="474"/>
      <c r="M48" s="474"/>
      <c r="N48" s="474"/>
      <c r="O48" s="474"/>
      <c r="P48" s="474"/>
      <c r="Q48" s="474"/>
      <c r="R48" s="474"/>
      <c r="S48" s="475"/>
      <c r="T48" s="477"/>
      <c r="U48" s="11"/>
      <c r="W48" s="4"/>
    </row>
    <row r="49" spans="1:26">
      <c r="A49" s="457"/>
      <c r="B49" s="458" t="s">
        <v>190</v>
      </c>
      <c r="C49" s="454"/>
      <c r="D49" s="454"/>
      <c r="E49" s="454"/>
      <c r="F49" s="454"/>
      <c r="G49" s="454"/>
      <c r="H49" s="454" t="s">
        <v>593</v>
      </c>
      <c r="I49" s="454"/>
      <c r="J49" s="454"/>
      <c r="K49" s="454"/>
      <c r="L49" s="454"/>
      <c r="M49" s="454"/>
      <c r="N49" s="454"/>
      <c r="O49" s="454"/>
      <c r="P49" s="454"/>
      <c r="Q49" s="454"/>
      <c r="R49" s="454"/>
      <c r="S49" s="456"/>
      <c r="T49" s="454"/>
      <c r="U49" s="23"/>
    </row>
    <row r="50" spans="1:26" ht="12.6">
      <c r="A50" s="457"/>
      <c r="B50" s="466" t="s">
        <v>301</v>
      </c>
      <c r="C50" s="454"/>
      <c r="D50" s="454"/>
      <c r="E50" s="454"/>
      <c r="F50" s="454"/>
      <c r="G50" s="454"/>
      <c r="H50" s="454"/>
      <c r="I50" s="459"/>
      <c r="J50" s="454"/>
      <c r="K50" s="454"/>
      <c r="L50" s="454"/>
      <c r="M50" s="454"/>
      <c r="N50" s="454"/>
      <c r="O50" s="454"/>
      <c r="P50" s="462"/>
      <c r="Q50" s="454"/>
      <c r="R50" s="470"/>
      <c r="S50" s="456"/>
      <c r="U50" s="16"/>
    </row>
    <row r="51" spans="1:26" s="4" customFormat="1" ht="12.6">
      <c r="A51" s="457"/>
      <c r="B51" s="466" t="s">
        <v>342</v>
      </c>
      <c r="C51" s="459"/>
      <c r="D51" s="454"/>
      <c r="E51" s="454"/>
      <c r="F51" s="454"/>
      <c r="G51" s="454"/>
      <c r="H51" s="469" t="s">
        <v>660</v>
      </c>
      <c r="I51" s="454"/>
      <c r="J51" s="454"/>
      <c r="K51" s="454"/>
      <c r="L51" s="454"/>
      <c r="M51" s="454"/>
      <c r="N51" s="454"/>
      <c r="O51" s="454"/>
      <c r="P51" s="454"/>
      <c r="Q51" s="454"/>
      <c r="R51" s="470"/>
      <c r="S51" s="456"/>
      <c r="U51"/>
    </row>
    <row r="52" spans="1:26" ht="12.6">
      <c r="A52" s="457"/>
      <c r="B52" s="466" t="s">
        <v>343</v>
      </c>
      <c r="C52" s="459"/>
      <c r="D52" s="454"/>
      <c r="E52" s="454"/>
      <c r="F52" s="454"/>
      <c r="G52" s="454"/>
      <c r="H52" s="469" t="s">
        <v>661</v>
      </c>
      <c r="I52" s="454"/>
      <c r="J52" s="454"/>
      <c r="K52" s="454"/>
      <c r="L52" s="454"/>
      <c r="M52" s="454"/>
      <c r="N52" s="454"/>
      <c r="O52" s="454"/>
      <c r="P52" s="454"/>
      <c r="Q52" s="463"/>
      <c r="R52" s="470"/>
      <c r="S52" s="456"/>
      <c r="U52" s="3"/>
      <c r="Y52">
        <v>0</v>
      </c>
      <c r="Z52" t="s">
        <v>36</v>
      </c>
    </row>
    <row r="53" spans="1:26" ht="12.6">
      <c r="A53" s="457"/>
      <c r="B53" s="454" t="s">
        <v>148</v>
      </c>
      <c r="C53" s="459"/>
      <c r="D53" s="454"/>
      <c r="E53" s="454"/>
      <c r="F53" s="454"/>
      <c r="G53" s="454"/>
      <c r="H53" s="462" t="s">
        <v>662</v>
      </c>
      <c r="I53" s="454"/>
      <c r="J53" s="454"/>
      <c r="K53" s="454"/>
      <c r="L53" s="454"/>
      <c r="M53" s="454"/>
      <c r="N53" s="454"/>
      <c r="O53" s="454"/>
      <c r="P53" s="454"/>
      <c r="Q53" s="454"/>
      <c r="R53" s="470"/>
      <c r="S53" s="456"/>
      <c r="Y53">
        <v>1</v>
      </c>
      <c r="Z53" t="s">
        <v>37</v>
      </c>
    </row>
    <row r="54" spans="1:26">
      <c r="A54" s="457"/>
      <c r="B54" s="454"/>
      <c r="C54" s="458" t="s">
        <v>652</v>
      </c>
      <c r="D54" s="454"/>
      <c r="E54" s="454"/>
      <c r="F54" s="454"/>
      <c r="G54" s="454"/>
      <c r="H54" s="454"/>
      <c r="I54" s="454"/>
      <c r="J54" s="454"/>
      <c r="K54" s="454"/>
      <c r="L54" s="454"/>
      <c r="M54" s="454"/>
      <c r="N54" s="454"/>
      <c r="O54" s="454"/>
      <c r="P54" s="454"/>
      <c r="Q54" s="454"/>
      <c r="R54" s="453" t="s">
        <v>656</v>
      </c>
      <c r="S54" s="460"/>
      <c r="Y54">
        <v>2</v>
      </c>
      <c r="Z54" t="s">
        <v>47</v>
      </c>
    </row>
    <row r="55" spans="1:26">
      <c r="A55" s="457"/>
      <c r="B55" s="467" t="s">
        <v>193</v>
      </c>
      <c r="C55" s="458"/>
      <c r="D55" s="454"/>
      <c r="E55" s="454"/>
      <c r="F55" s="454"/>
      <c r="G55" s="454"/>
      <c r="H55" s="454"/>
      <c r="I55" s="454"/>
      <c r="J55" s="454"/>
      <c r="K55" s="454"/>
      <c r="L55" s="454"/>
      <c r="M55" s="454"/>
      <c r="N55" s="454"/>
      <c r="O55" s="454"/>
      <c r="P55" s="454"/>
      <c r="Q55" s="454"/>
      <c r="R55" s="455"/>
      <c r="S55" s="460"/>
    </row>
    <row r="56" spans="1:26">
      <c r="A56" s="457"/>
      <c r="B56" s="466" t="s">
        <v>597</v>
      </c>
      <c r="C56" s="458"/>
      <c r="D56" s="454"/>
      <c r="E56" s="454"/>
      <c r="F56" s="454"/>
      <c r="G56" s="454"/>
      <c r="H56" s="454"/>
      <c r="I56" s="454"/>
      <c r="J56" s="454"/>
      <c r="K56" s="454"/>
      <c r="L56" s="463"/>
      <c r="M56" s="463"/>
      <c r="N56" s="463"/>
      <c r="O56" s="463"/>
      <c r="P56" s="463"/>
      <c r="Q56" s="463"/>
      <c r="R56" s="470"/>
      <c r="S56" s="460"/>
      <c r="U56" s="10"/>
      <c r="V56" s="2"/>
    </row>
    <row r="57" spans="1:26">
      <c r="A57" s="457"/>
      <c r="B57" s="466" t="s">
        <v>194</v>
      </c>
      <c r="C57" s="458"/>
      <c r="D57" s="454"/>
      <c r="E57" s="454"/>
      <c r="F57" s="454"/>
      <c r="G57" s="454"/>
      <c r="H57" s="454"/>
      <c r="I57" s="454"/>
      <c r="J57" s="454"/>
      <c r="K57" s="454"/>
      <c r="L57" s="465"/>
      <c r="M57" s="465"/>
      <c r="N57" s="465"/>
      <c r="O57" s="465"/>
      <c r="P57" s="465"/>
      <c r="Q57" s="465"/>
      <c r="R57" s="470"/>
      <c r="S57" s="460"/>
    </row>
    <row r="58" spans="1:26">
      <c r="A58" s="457"/>
      <c r="B58" s="466" t="s">
        <v>599</v>
      </c>
      <c r="C58" s="458"/>
      <c r="D58" s="454"/>
      <c r="E58" s="454"/>
      <c r="F58" s="454"/>
      <c r="G58" s="454"/>
      <c r="H58" s="454"/>
      <c r="I58" s="454"/>
      <c r="J58" s="454"/>
      <c r="K58" s="454"/>
      <c r="L58" s="466"/>
      <c r="M58" s="454"/>
      <c r="N58" s="454"/>
      <c r="O58" s="454"/>
      <c r="P58" s="454"/>
      <c r="Q58" s="454"/>
      <c r="R58" s="470"/>
      <c r="S58" s="460"/>
    </row>
    <row r="59" spans="1:26">
      <c r="A59" s="457"/>
      <c r="B59" s="454"/>
      <c r="C59" s="467" t="s">
        <v>653</v>
      </c>
      <c r="D59" s="454"/>
      <c r="E59" s="454"/>
      <c r="F59" s="454"/>
      <c r="G59" s="454"/>
      <c r="H59" s="454"/>
      <c r="I59" s="454"/>
      <c r="J59" s="454"/>
      <c r="K59" s="454"/>
      <c r="L59" s="454"/>
      <c r="M59" s="454"/>
      <c r="N59" s="454"/>
      <c r="O59" s="454"/>
      <c r="P59" s="454"/>
      <c r="Q59" s="454"/>
      <c r="R59" s="453" t="s">
        <v>657</v>
      </c>
      <c r="S59" s="460"/>
    </row>
    <row r="60" spans="1:26">
      <c r="A60" s="457"/>
      <c r="B60" s="458" t="s">
        <v>195</v>
      </c>
      <c r="C60" s="454"/>
      <c r="D60" s="454"/>
      <c r="E60" s="454"/>
      <c r="F60" s="454"/>
      <c r="G60" s="454"/>
      <c r="H60" s="454"/>
      <c r="I60" s="454"/>
      <c r="J60" s="454"/>
      <c r="K60" s="454"/>
      <c r="L60" s="454"/>
      <c r="M60" s="454"/>
      <c r="N60" s="454"/>
      <c r="O60" s="454"/>
      <c r="P60" s="454"/>
      <c r="Q60" s="454"/>
      <c r="R60" s="454"/>
      <c r="S60" s="456"/>
    </row>
    <row r="61" spans="1:26">
      <c r="A61" s="457"/>
      <c r="B61" s="454" t="s">
        <v>601</v>
      </c>
      <c r="C61" s="454"/>
      <c r="D61" s="454"/>
      <c r="E61" s="454"/>
      <c r="F61" s="454"/>
      <c r="G61" s="454"/>
      <c r="H61" s="454"/>
      <c r="I61" s="454"/>
      <c r="J61" s="454"/>
      <c r="K61" s="454"/>
      <c r="L61" s="454"/>
      <c r="M61" s="454"/>
      <c r="N61" s="454"/>
      <c r="O61" s="454"/>
      <c r="P61" s="454"/>
      <c r="Q61" s="454"/>
      <c r="R61" s="470"/>
      <c r="S61" s="456"/>
    </row>
    <row r="62" spans="1:26" ht="12.6">
      <c r="A62" s="457"/>
      <c r="B62" s="454" t="s">
        <v>602</v>
      </c>
      <c r="C62" s="454"/>
      <c r="D62" s="454"/>
      <c r="E62" s="454"/>
      <c r="F62" s="454"/>
      <c r="G62" s="454"/>
      <c r="H62" s="454"/>
      <c r="I62" s="454"/>
      <c r="J62" s="462"/>
      <c r="K62" s="454"/>
      <c r="L62" s="454"/>
      <c r="M62" s="454"/>
      <c r="N62" s="454"/>
      <c r="O62" s="461"/>
      <c r="P62" s="454"/>
      <c r="Q62" s="463"/>
      <c r="R62" s="470"/>
      <c r="S62" s="456"/>
    </row>
    <row r="63" spans="1:26" ht="12.6">
      <c r="A63" s="457"/>
      <c r="B63" s="454" t="s">
        <v>654</v>
      </c>
      <c r="C63" s="454"/>
      <c r="D63" s="454"/>
      <c r="E63" s="454"/>
      <c r="F63" s="454" t="s">
        <v>663</v>
      </c>
      <c r="G63" s="454"/>
      <c r="H63" s="454"/>
      <c r="I63" s="454"/>
      <c r="J63" s="462"/>
      <c r="K63" s="454"/>
      <c r="L63" s="454"/>
      <c r="M63" s="454"/>
      <c r="N63" s="454"/>
      <c r="O63" s="461"/>
      <c r="P63" s="463"/>
      <c r="Q63" s="463"/>
      <c r="R63" s="420"/>
      <c r="S63" s="456"/>
    </row>
    <row r="64" spans="1:26" ht="12.6">
      <c r="A64" s="457"/>
      <c r="B64" s="454" t="s">
        <v>196</v>
      </c>
      <c r="C64" s="454"/>
      <c r="D64" s="454"/>
      <c r="E64" s="463"/>
      <c r="F64" s="463"/>
      <c r="G64" s="463"/>
      <c r="H64" s="463"/>
      <c r="I64" s="463"/>
      <c r="J64" s="468"/>
      <c r="K64" s="463"/>
      <c r="L64" s="463"/>
      <c r="M64" s="463"/>
      <c r="N64" s="463"/>
      <c r="O64" s="464"/>
      <c r="P64" s="463"/>
      <c r="Q64" s="463"/>
      <c r="R64" s="470"/>
      <c r="S64" s="456"/>
    </row>
    <row r="65" spans="1:19">
      <c r="A65" s="457"/>
      <c r="B65" s="454" t="s">
        <v>605</v>
      </c>
      <c r="C65" s="454"/>
      <c r="D65" s="454"/>
      <c r="E65" s="454"/>
      <c r="F65" s="454"/>
      <c r="G65" s="454"/>
      <c r="H65" s="454"/>
      <c r="I65" s="454"/>
      <c r="J65" s="454"/>
      <c r="K65" s="454"/>
      <c r="L65" s="454"/>
      <c r="M65" s="454"/>
      <c r="N65" s="454"/>
      <c r="O65" s="454"/>
      <c r="P65" s="454"/>
      <c r="Q65" s="454"/>
      <c r="R65" s="470"/>
      <c r="S65" s="456"/>
    </row>
    <row r="66" spans="1:19">
      <c r="A66" s="457"/>
      <c r="B66" s="454" t="s">
        <v>608</v>
      </c>
      <c r="C66" s="454"/>
      <c r="D66" s="454"/>
      <c r="E66" s="454"/>
      <c r="F66" s="454"/>
      <c r="G66" s="454"/>
      <c r="H66" s="454"/>
      <c r="I66" s="454"/>
      <c r="J66" s="454"/>
      <c r="K66" s="454"/>
      <c r="L66" s="454"/>
      <c r="M66" s="454"/>
      <c r="N66" s="454"/>
      <c r="O66" s="454"/>
      <c r="P66" s="463"/>
      <c r="Q66" s="463"/>
      <c r="R66" s="470"/>
      <c r="S66" s="456"/>
    </row>
    <row r="67" spans="1:19">
      <c r="A67" s="457"/>
      <c r="B67" s="454" t="s">
        <v>65</v>
      </c>
      <c r="C67" s="454"/>
      <c r="D67" s="454"/>
      <c r="E67" s="454"/>
      <c r="F67" s="454"/>
      <c r="G67" s="454"/>
      <c r="H67" s="454"/>
      <c r="I67" s="454"/>
      <c r="J67" s="454"/>
      <c r="K67" s="463"/>
      <c r="L67" s="463"/>
      <c r="M67" s="463"/>
      <c r="N67" s="463"/>
      <c r="O67" s="463"/>
      <c r="P67" s="465"/>
      <c r="Q67" s="465"/>
      <c r="R67" s="470"/>
      <c r="S67" s="456"/>
    </row>
    <row r="68" spans="1:19">
      <c r="A68" s="457"/>
      <c r="B68" s="454"/>
      <c r="C68" s="458" t="s">
        <v>655</v>
      </c>
      <c r="D68" s="454"/>
      <c r="E68" s="454"/>
      <c r="F68" s="454"/>
      <c r="G68" s="454"/>
      <c r="H68" s="454"/>
      <c r="I68" s="454"/>
      <c r="J68" s="454"/>
      <c r="K68" s="454"/>
      <c r="L68" s="454"/>
      <c r="M68" s="454"/>
      <c r="N68" s="454"/>
      <c r="O68" s="454"/>
      <c r="P68" s="454"/>
      <c r="Q68" s="454"/>
      <c r="R68" s="453" t="s">
        <v>658</v>
      </c>
      <c r="S68" s="460"/>
    </row>
    <row r="69" spans="1:19"/>
    <row r="70" spans="1:19"/>
    <row r="71" spans="1:19"/>
    <row r="72" spans="1:19"/>
    <row r="73" spans="1:19"/>
    <row r="74" spans="1:19"/>
    <row r="75" spans="1:19"/>
    <row r="76" spans="1:19"/>
    <row r="77" spans="1:19"/>
    <row r="78" spans="1:19"/>
    <row r="79" spans="1:19"/>
    <row r="80" spans="1:19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</sheetData>
  <sheetProtection selectLockedCells="1"/>
  <phoneticPr fontId="0" type="noConversion"/>
  <pageMargins left="0.5" right="0.5" top="0.5" bottom="0.5" header="0.5" footer="0.5"/>
  <pageSetup scale="82" orientation="portrait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72"/>
  <sheetViews>
    <sheetView showGridLines="0" showRowColHeaders="0" zoomScaleNormal="100" zoomScaleSheetLayoutView="75" workbookViewId="0">
      <selection activeCell="B3" sqref="B3:R3"/>
    </sheetView>
  </sheetViews>
  <sheetFormatPr defaultRowHeight="12.3"/>
  <cols>
    <col min="1" max="1" width="3.71875" style="3" customWidth="1"/>
    <col min="2" max="15" width="2.71875" customWidth="1"/>
    <col min="16" max="16" width="15.71875" customWidth="1"/>
    <col min="17" max="17" width="2.71875" customWidth="1"/>
    <col min="18" max="18" width="15.71875" customWidth="1"/>
    <col min="19" max="19" width="2.71875" customWidth="1"/>
    <col min="20" max="20" width="18.71875" customWidth="1"/>
    <col min="21" max="22" width="1.71875" customWidth="1"/>
    <col min="23" max="23" width="5.71875" style="16" customWidth="1"/>
  </cols>
  <sheetData>
    <row r="1" spans="1:23" ht="12.6" thickBot="1">
      <c r="A1" s="50"/>
    </row>
    <row r="2" spans="1:23" ht="18" thickBot="1">
      <c r="B2" s="88" t="s">
        <v>81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90"/>
      <c r="P2" s="90"/>
      <c r="Q2" s="90"/>
      <c r="R2" s="90"/>
      <c r="S2" s="91"/>
      <c r="T2" s="92"/>
    </row>
    <row r="3" spans="1:23">
      <c r="S3" s="4"/>
      <c r="T3" s="4"/>
    </row>
    <row r="4" spans="1:23">
      <c r="B4" s="4" t="s">
        <v>82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3" ht="12.6" thickBot="1">
      <c r="B5" s="4" t="s">
        <v>143</v>
      </c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spans="1:23" ht="12.75" customHeight="1">
      <c r="A6" s="26"/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93"/>
      <c r="T6" s="30" t="str">
        <f>'Industrial Truck DSC'!S1</f>
        <v>Survey Deadline</v>
      </c>
      <c r="U6" s="94"/>
      <c r="V6" s="26"/>
    </row>
    <row r="7" spans="1:23" ht="15" customHeight="1" thickBot="1">
      <c r="A7" s="95"/>
      <c r="B7" s="186" t="s">
        <v>208</v>
      </c>
      <c r="C7" s="26"/>
      <c r="D7" s="26"/>
      <c r="E7" s="26"/>
      <c r="F7" s="26"/>
      <c r="G7" s="26"/>
      <c r="H7" s="26"/>
      <c r="I7" s="26"/>
      <c r="J7" s="26"/>
      <c r="K7" s="26"/>
      <c r="L7" s="26"/>
      <c r="M7" s="26"/>
      <c r="N7" s="26"/>
      <c r="O7" s="26"/>
      <c r="P7" s="96" t="str">
        <f>'Industrial Truck DSC'!P3</f>
        <v>CONFIDENTIAL</v>
      </c>
      <c r="Q7" s="26"/>
      <c r="R7" s="26"/>
      <c r="S7" s="93"/>
      <c r="T7" s="31">
        <f>'Industrial Truck DSC'!S2</f>
        <v>45744</v>
      </c>
      <c r="U7" s="94"/>
      <c r="V7" s="26"/>
    </row>
    <row r="8" spans="1:23" ht="15" customHeight="1">
      <c r="A8" s="95"/>
      <c r="B8" s="26"/>
      <c r="C8" s="26"/>
      <c r="D8" s="26"/>
      <c r="E8" s="26"/>
      <c r="F8" s="26"/>
      <c r="G8" s="26"/>
      <c r="H8" s="26"/>
      <c r="I8" s="26"/>
      <c r="J8" s="26"/>
      <c r="K8" s="26"/>
      <c r="L8" s="519">
        <f>Yr</f>
        <v>2025</v>
      </c>
      <c r="M8" s="519"/>
      <c r="N8" s="519"/>
      <c r="O8" s="97" t="str">
        <f>'Industrial Truck DSC'!O4</f>
        <v>Industrial Truck Distributor</v>
      </c>
      <c r="P8" s="26"/>
      <c r="Q8" s="26"/>
      <c r="R8" s="26"/>
      <c r="S8" s="98"/>
      <c r="T8" s="98"/>
      <c r="U8" s="26"/>
      <c r="V8" s="26"/>
    </row>
    <row r="9" spans="1:23" ht="15" customHeight="1">
      <c r="A9" s="95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  <c r="O9" s="58"/>
      <c r="P9" s="96" t="str">
        <f>'Industrial Truck DSC'!P5</f>
        <v>DSC Survey</v>
      </c>
      <c r="Q9" s="26"/>
      <c r="R9" s="58"/>
      <c r="S9" s="26"/>
      <c r="T9" s="26"/>
      <c r="U9" s="26"/>
      <c r="V9" s="26"/>
    </row>
    <row r="10" spans="1:23" ht="6" customHeight="1" thickBot="1">
      <c r="B10" s="14"/>
      <c r="C10" s="14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5"/>
      <c r="O10" s="5"/>
      <c r="P10" s="5"/>
      <c r="Q10" s="14"/>
      <c r="R10" s="5"/>
    </row>
    <row r="11" spans="1:23" ht="12.75" customHeight="1">
      <c r="A11" s="99"/>
      <c r="B11" s="100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2"/>
      <c r="O11" s="103"/>
      <c r="P11" s="103" t="str">
        <f>'Industrial Truck DSC'!P7</f>
        <v>Your data will be treated confidentially by Mackay Research Group.</v>
      </c>
      <c r="Q11" s="102"/>
      <c r="R11" s="102"/>
      <c r="S11" s="101"/>
      <c r="T11" s="104"/>
      <c r="U11" s="105"/>
      <c r="V11" s="15"/>
    </row>
    <row r="12" spans="1:23" ht="12.75" customHeight="1">
      <c r="A12" s="99"/>
      <c r="B12" s="10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O12" s="183"/>
      <c r="P12" s="6" t="str">
        <f>'Industrial Truck DSC'!P8</f>
        <v>No one from MHEDA or its staff will have access to individual company data.</v>
      </c>
      <c r="S12" s="15"/>
      <c r="T12" s="184"/>
      <c r="U12" s="105"/>
      <c r="V12" s="15"/>
    </row>
    <row r="13" spans="1:23" ht="12.75" customHeight="1" thickBot="1">
      <c r="A13" s="99"/>
      <c r="B13" s="106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107"/>
      <c r="P13" s="108" t="str">
        <f>'Industrial Truck DSC'!P9</f>
        <v>Participant data will be aggregated in a way that prevents identification of any individual company.</v>
      </c>
      <c r="Q13" s="109"/>
      <c r="R13" s="85"/>
      <c r="S13" s="85"/>
      <c r="T13" s="110"/>
      <c r="U13" s="111"/>
      <c r="V13" s="4"/>
    </row>
    <row r="14" spans="1:23" ht="6" customHeight="1">
      <c r="B14" s="112"/>
      <c r="C14" s="6" t="s">
        <v>2</v>
      </c>
      <c r="N14" s="7"/>
      <c r="O14" s="7"/>
      <c r="P14" s="7"/>
      <c r="Q14" s="7"/>
      <c r="R14" s="7"/>
    </row>
    <row r="15" spans="1:23" ht="12.75" customHeight="1">
      <c r="B15" s="42" t="str">
        <f>'Industrial Truck DSC'!B11</f>
        <v>INSTRUCTIONS</v>
      </c>
      <c r="C15" s="6"/>
      <c r="D15" s="15"/>
      <c r="E15" s="15"/>
      <c r="F15" s="15"/>
      <c r="G15" s="15"/>
      <c r="H15" s="15"/>
      <c r="I15" s="15"/>
      <c r="J15" s="15"/>
      <c r="K15" s="15"/>
      <c r="L15" s="15"/>
      <c r="M15" s="15"/>
      <c r="N15" s="6"/>
      <c r="O15" s="6"/>
      <c r="P15" s="6"/>
      <c r="Q15" s="6"/>
      <c r="R15" s="6"/>
      <c r="S15" s="15"/>
      <c r="T15" s="15"/>
      <c r="U15" s="15"/>
      <c r="V15" s="15"/>
    </row>
    <row r="16" spans="1:23" ht="12.75" customHeight="1">
      <c r="A16" s="20" t="str">
        <f>'Industrial Truck DSC'!A12</f>
        <v>1.</v>
      </c>
      <c r="B16" s="15" t="str">
        <f>'Industrial Truck DSC'!B12</f>
        <v xml:space="preserve">Enter the financial statement figures for your most recently completed fiscal year (12 months of data).  </v>
      </c>
      <c r="C16" s="6"/>
      <c r="D16" s="15"/>
      <c r="E16" s="15"/>
      <c r="F16" s="15"/>
      <c r="G16" s="15"/>
      <c r="H16" s="15"/>
      <c r="I16" s="15"/>
      <c r="J16" s="15"/>
      <c r="K16" s="15"/>
      <c r="L16" s="15"/>
      <c r="M16" s="15"/>
      <c r="N16" s="6"/>
      <c r="O16" s="6"/>
      <c r="P16" s="6"/>
      <c r="Q16" s="6"/>
      <c r="R16" s="6"/>
      <c r="S16" s="15"/>
      <c r="T16" s="15"/>
      <c r="U16" s="15"/>
      <c r="V16" s="15"/>
      <c r="W16" s="11"/>
    </row>
    <row r="17" spans="1:23" ht="12.75" customHeight="1">
      <c r="A17" s="20" t="s">
        <v>18</v>
      </c>
      <c r="B17" s="15" t="str">
        <f>'Industrial Truck DSC'!B15</f>
        <v>As an option, you may submit a copy of your income statement and balance sheet (12 months of data)</v>
      </c>
      <c r="C17" s="6"/>
      <c r="D17" s="15"/>
      <c r="E17" s="15"/>
      <c r="F17" s="15"/>
      <c r="G17" s="15"/>
      <c r="H17" s="15"/>
      <c r="I17" s="15"/>
      <c r="J17" s="15"/>
      <c r="K17" s="15"/>
      <c r="L17" s="15"/>
      <c r="M17" s="15"/>
      <c r="N17" s="6"/>
      <c r="O17" s="6"/>
      <c r="P17" s="6"/>
      <c r="Q17" s="6"/>
      <c r="R17" s="6"/>
      <c r="S17" s="15"/>
      <c r="T17" s="15"/>
      <c r="U17" s="15"/>
      <c r="V17" s="15"/>
      <c r="W17" s="11"/>
    </row>
    <row r="18" spans="1:23" ht="12.75" customHeight="1">
      <c r="A18" s="20"/>
      <c r="B18" s="15" t="str">
        <f>'Industrial Truck DSC'!B16</f>
        <v>instead of answering questions 5 and 11 on this questionnaire.</v>
      </c>
      <c r="C18" s="6"/>
      <c r="D18" s="15"/>
      <c r="E18" s="15"/>
      <c r="F18" s="15"/>
      <c r="G18" s="15"/>
      <c r="H18" s="15"/>
      <c r="I18" s="15"/>
      <c r="J18" s="15"/>
      <c r="K18" s="15"/>
      <c r="L18" s="15"/>
      <c r="M18" s="15"/>
      <c r="N18" s="6"/>
      <c r="O18" s="6"/>
      <c r="P18" s="6"/>
      <c r="Q18" s="6"/>
      <c r="R18" s="6"/>
      <c r="S18" s="15"/>
      <c r="T18" s="15"/>
      <c r="U18" s="15"/>
      <c r="V18" s="15"/>
      <c r="W18" s="11"/>
    </row>
    <row r="19" spans="1:23" ht="12.75" customHeight="1">
      <c r="A19" s="20" t="s">
        <v>19</v>
      </c>
      <c r="B19" s="15" t="e">
        <f>'Industrial Truck DSC'!#REF!</f>
        <v>#REF!</v>
      </c>
      <c r="C19" s="6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6"/>
      <c r="O19" s="6"/>
      <c r="P19" s="6"/>
      <c r="Q19" s="6"/>
      <c r="R19" s="6"/>
      <c r="S19" s="15"/>
      <c r="T19" s="15"/>
      <c r="U19" s="15"/>
      <c r="V19" s="15"/>
      <c r="W19" s="11"/>
    </row>
    <row r="20" spans="1:23" ht="12.75" customHeight="1">
      <c r="A20" s="20" t="s">
        <v>20</v>
      </c>
      <c r="B20" s="15" t="str">
        <f>'Industrial Truck DSC'!B17</f>
        <v>Questions regarding this survey? Please email:</v>
      </c>
      <c r="C20" s="6"/>
      <c r="D20" s="15"/>
      <c r="E20" s="15"/>
      <c r="F20" s="15"/>
      <c r="G20" s="15"/>
      <c r="H20" s="15"/>
      <c r="I20" s="15"/>
      <c r="J20" s="15"/>
      <c r="K20" s="15"/>
      <c r="L20" s="15"/>
      <c r="M20" s="113"/>
      <c r="N20" s="521" t="str">
        <f>'Industrial Truck DSC'!Q17</f>
        <v>taylor@mackayresearchgroup.com</v>
      </c>
      <c r="O20" s="521"/>
      <c r="P20" s="521"/>
      <c r="Q20" s="521"/>
      <c r="R20" s="521"/>
      <c r="S20" s="15"/>
      <c r="T20" s="15"/>
      <c r="U20" s="15"/>
      <c r="V20" s="15"/>
      <c r="W20" s="11"/>
    </row>
    <row r="21" spans="1:23" ht="12.75" customHeight="1">
      <c r="A21" s="20" t="s">
        <v>29</v>
      </c>
      <c r="B21" s="114" t="str">
        <f>'Industrial Truck DSC'!B18</f>
        <v>Upload your survey using Dropbox link:</v>
      </c>
      <c r="C21" s="6"/>
      <c r="D21" s="15"/>
      <c r="E21" s="15"/>
      <c r="F21" s="15"/>
      <c r="G21" s="15"/>
      <c r="H21" s="15"/>
      <c r="I21" s="15"/>
      <c r="J21" s="15"/>
      <c r="K21" s="15"/>
      <c r="L21" s="15"/>
      <c r="M21" s="15"/>
      <c r="N21" s="6"/>
      <c r="O21" s="6"/>
      <c r="P21" s="522">
        <f>'Industrial Truck DSC'!P18</f>
        <v>0</v>
      </c>
      <c r="Q21" s="522"/>
      <c r="R21" s="522"/>
      <c r="S21" s="522"/>
      <c r="T21" s="15"/>
      <c r="U21" s="15"/>
      <c r="V21" s="15"/>
      <c r="W21" s="11"/>
    </row>
    <row r="22" spans="1:23" ht="12.75" customHeight="1">
      <c r="A22" s="20" t="s">
        <v>30</v>
      </c>
      <c r="B22" s="15" t="str">
        <f>'Industrial Truck DSC'!B21</f>
        <v>For your FREE individual Financial Benchmarking Dashboard which compares your company's</v>
      </c>
      <c r="C22" s="6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6"/>
      <c r="O22" s="6"/>
      <c r="P22" s="6"/>
      <c r="Q22" s="6"/>
      <c r="R22" s="6"/>
      <c r="S22" s="15"/>
      <c r="T22" s="15"/>
      <c r="U22" s="15"/>
      <c r="V22" s="15"/>
      <c r="W22" s="11"/>
    </row>
    <row r="23" spans="1:23" ht="12.75" customHeight="1">
      <c r="A23" s="20"/>
      <c r="B23" s="113" t="str">
        <f>'Industrial Truck DSC'!B22</f>
        <v>performance to industry benchmarks, please complete the following:</v>
      </c>
      <c r="W23" s="11"/>
    </row>
    <row r="24" spans="1:23" ht="12.75" customHeight="1">
      <c r="C24" s="15"/>
      <c r="H24" s="15" t="str">
        <f>'Industrial Truck DSC'!H23</f>
        <v>Name/Title</v>
      </c>
      <c r="O24" s="15"/>
      <c r="P24" s="15" t="str">
        <f>IF(ISBLANK(Person),"________________________________________",Person)</f>
        <v>________________________________________</v>
      </c>
      <c r="Q24" s="15"/>
      <c r="R24" s="15"/>
      <c r="S24" s="15"/>
      <c r="T24" s="15"/>
      <c r="U24" s="15"/>
      <c r="V24" s="15"/>
    </row>
    <row r="25" spans="1:23" ht="12.75" hidden="1" customHeight="1">
      <c r="C25" s="15"/>
      <c r="H25" s="15" t="str">
        <f>'Industrial Truck DSC'!H24</f>
        <v>Title</v>
      </c>
      <c r="O25" s="15"/>
      <c r="P25" s="15" t="str">
        <f>IF(ISBLANK(Title),"________________________________________",Title)</f>
        <v>________________________________________</v>
      </c>
      <c r="Q25" s="15"/>
      <c r="R25" s="15"/>
      <c r="S25" s="15"/>
      <c r="T25" s="15"/>
      <c r="U25" s="15"/>
      <c r="V25" s="15"/>
    </row>
    <row r="26" spans="1:23" ht="12.75" customHeight="1">
      <c r="C26" s="15"/>
      <c r="H26" s="15" t="str">
        <f>'Industrial Truck DSC'!H25</f>
        <v>Company</v>
      </c>
      <c r="O26" s="15"/>
      <c r="P26" s="15" t="str">
        <f>IF(ISBLANK(Name),"________________________________________",Name)</f>
        <v>________________________________________</v>
      </c>
      <c r="Q26" s="15"/>
      <c r="R26" s="15"/>
      <c r="S26" s="15"/>
      <c r="T26" s="15"/>
      <c r="U26" s="15"/>
      <c r="V26" s="15"/>
    </row>
    <row r="27" spans="1:23" ht="12.75" customHeight="1">
      <c r="C27" s="15"/>
      <c r="H27" s="15" t="str">
        <f>'Industrial Truck DSC'!H26</f>
        <v>Mailing Address</v>
      </c>
      <c r="O27" s="15"/>
      <c r="P27" s="15" t="str">
        <f>IF(ISBLANK(Addr1),"________________________________________",Addr1)</f>
        <v>________________________________________</v>
      </c>
      <c r="Q27" s="15"/>
      <c r="R27" s="15"/>
      <c r="S27" s="15"/>
      <c r="T27" s="15"/>
      <c r="U27" s="15"/>
      <c r="V27" s="15"/>
    </row>
    <row r="28" spans="1:23" ht="12.75" hidden="1" customHeight="1">
      <c r="C28" s="15"/>
      <c r="H28" s="15"/>
      <c r="O28" s="15"/>
      <c r="P28" s="15" t="str">
        <f>IF(ISBLANK(Addr2),"________________________________________",Addr2)</f>
        <v>________________________________________</v>
      </c>
      <c r="Q28" s="15"/>
      <c r="R28" s="15"/>
      <c r="S28" s="15"/>
      <c r="T28" s="15"/>
      <c r="U28" s="15"/>
      <c r="V28" s="15"/>
    </row>
    <row r="29" spans="1:23" ht="12.75" customHeight="1">
      <c r="C29" s="15"/>
      <c r="H29" s="15" t="str">
        <f>'Industrial Truck DSC'!H28</f>
        <v>City</v>
      </c>
      <c r="O29" s="15"/>
      <c r="P29" s="15" t="str">
        <f>IF(ISBLANK(City),"________________________________________",City)</f>
        <v>________________________________________</v>
      </c>
      <c r="Q29" s="15"/>
      <c r="R29" s="15"/>
      <c r="S29" s="15"/>
      <c r="T29" s="15"/>
      <c r="U29" s="15"/>
      <c r="V29" s="15"/>
    </row>
    <row r="30" spans="1:23" ht="12.75" customHeight="1">
      <c r="C30" s="15"/>
      <c r="H30" s="15" t="str">
        <f>'Industrial Truck DSC'!H29</f>
        <v>State</v>
      </c>
      <c r="O30" s="15"/>
      <c r="P30" s="15" t="str">
        <f>IF(ISBLANK(State),"________________________________________",State)</f>
        <v>________________________________________</v>
      </c>
      <c r="Q30" s="15"/>
      <c r="R30" s="15"/>
      <c r="S30" s="15"/>
      <c r="T30" s="15"/>
      <c r="U30" s="15"/>
      <c r="V30" s="15"/>
    </row>
    <row r="31" spans="1:23" ht="12.75" customHeight="1">
      <c r="C31" s="15"/>
      <c r="H31" s="15" t="str">
        <f>'Industrial Truck DSC'!H30</f>
        <v>Zip Code</v>
      </c>
      <c r="O31" s="15"/>
      <c r="P31" s="115" t="str">
        <f>IF(ISBLANK(Zipcode),"________________________________________",Zipcode)</f>
        <v>________________________________________</v>
      </c>
      <c r="Q31" s="15"/>
      <c r="R31" s="15"/>
      <c r="S31" s="15"/>
      <c r="T31" s="15"/>
      <c r="U31" s="15"/>
      <c r="V31" s="15"/>
    </row>
    <row r="32" spans="1:23" ht="12.75" customHeight="1">
      <c r="C32" s="15"/>
      <c r="H32" s="15" t="str">
        <f>'Industrial Truck DSC'!H31</f>
        <v>Telephone</v>
      </c>
      <c r="O32" s="15"/>
      <c r="P32" s="116" t="str">
        <f>IF(ISBLANK(Phone),"________________________________________",Phone)</f>
        <v>________________________________________</v>
      </c>
      <c r="Q32" s="15"/>
      <c r="R32" s="15"/>
      <c r="S32" s="15"/>
      <c r="T32" s="15"/>
      <c r="U32" s="15"/>
      <c r="V32" s="15"/>
    </row>
    <row r="33" spans="1:23" ht="12.75" customHeight="1" thickBot="1">
      <c r="C33" s="15"/>
      <c r="H33" s="15" t="str">
        <f>'Industrial Truck DSC'!H32</f>
        <v>Email Address</v>
      </c>
      <c r="O33" s="15"/>
      <c r="P33" s="15" t="str">
        <f>IF(ISBLANK(eaddr),"________________________________________",eaddr)</f>
        <v>________________________________________</v>
      </c>
      <c r="Q33" s="15"/>
      <c r="R33" s="15"/>
      <c r="S33" s="15"/>
      <c r="T33" s="15"/>
      <c r="U33" s="15"/>
      <c r="V33" s="15"/>
    </row>
    <row r="34" spans="1:23" ht="12.75" customHeight="1">
      <c r="A34" s="139"/>
      <c r="B34" s="185" t="str">
        <f>'Deleted in 2022'!B1</f>
        <v>2021 DiSC questions deleted in 2022</v>
      </c>
      <c r="C34" s="140"/>
      <c r="D34" s="140"/>
      <c r="E34" s="140"/>
      <c r="F34" s="140"/>
      <c r="G34" s="140"/>
      <c r="H34" s="140"/>
      <c r="I34" s="140"/>
      <c r="J34" s="140"/>
      <c r="K34" s="140"/>
      <c r="L34" s="140"/>
      <c r="M34" s="140"/>
      <c r="N34" s="141"/>
      <c r="O34" s="141"/>
      <c r="P34" s="141"/>
      <c r="Q34" s="141"/>
      <c r="R34" s="141"/>
      <c r="S34" s="140"/>
      <c r="T34" s="140"/>
      <c r="U34" s="140"/>
      <c r="V34" s="26"/>
    </row>
    <row r="35" spans="1:23" ht="6" customHeight="1">
      <c r="B35" s="42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</row>
    <row r="36" spans="1:23" ht="12.75" customHeight="1">
      <c r="A36" s="127" t="str">
        <f>'Industrial Truck DSC'!A163</f>
        <v>1.</v>
      </c>
      <c r="B36" s="37" t="str">
        <f>'Industrial Truck DSC'!B163</f>
        <v>Organizational structure (Enter 1-5)</v>
      </c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15"/>
      <c r="P36" s="15"/>
      <c r="Q36" s="15"/>
      <c r="R36" s="117" t="str">
        <f>IF(ISBLANK(Org),"_____________",Org)</f>
        <v>_____________</v>
      </c>
      <c r="S36" s="15"/>
      <c r="T36" s="15"/>
      <c r="U36" s="15"/>
    </row>
    <row r="37" spans="1:23" ht="6" customHeight="1">
      <c r="B37" s="42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</row>
    <row r="38" spans="1:23" ht="12.75" customHeight="1">
      <c r="A38" s="127" t="str">
        <f>'Industrial Truck DSC'!A165</f>
        <v>2.</v>
      </c>
      <c r="B38" s="37" t="str">
        <f>'Industrial Truck DSC'!B165</f>
        <v>Number of active customers (6 or more orders annually)</v>
      </c>
      <c r="C38" s="33"/>
      <c r="D38" s="33"/>
      <c r="E38" s="33"/>
      <c r="F38" s="33"/>
      <c r="G38" s="33"/>
      <c r="H38" s="33"/>
      <c r="I38" s="33"/>
      <c r="J38" s="33"/>
      <c r="K38" s="33"/>
      <c r="L38" s="33"/>
      <c r="M38" s="33"/>
      <c r="N38" s="33"/>
      <c r="O38" s="33"/>
      <c r="P38" s="33"/>
      <c r="Q38" s="33"/>
      <c r="R38" s="117"/>
      <c r="S38" s="33"/>
      <c r="T38" s="118"/>
      <c r="W38" s="15"/>
    </row>
    <row r="39" spans="1:23" ht="6" customHeight="1">
      <c r="A39" s="127"/>
      <c r="B39" s="37"/>
      <c r="C39" s="33"/>
      <c r="D39" s="33"/>
      <c r="E39" s="33"/>
      <c r="F39" s="33"/>
      <c r="G39" s="33"/>
      <c r="H39" s="33"/>
      <c r="I39" s="33"/>
      <c r="J39" s="33"/>
      <c r="K39" s="33"/>
      <c r="L39" s="33"/>
      <c r="M39" s="33"/>
      <c r="N39" s="33"/>
      <c r="O39" s="33"/>
      <c r="P39" s="33"/>
      <c r="Q39" s="33"/>
      <c r="R39" s="121"/>
      <c r="S39" s="33"/>
      <c r="T39" s="119"/>
      <c r="W39" s="44"/>
    </row>
    <row r="40" spans="1:23" ht="12.75" customHeight="1">
      <c r="A40" s="127" t="str">
        <f>'Industrial Truck DSC'!A167</f>
        <v>3.</v>
      </c>
      <c r="B40" s="37" t="str">
        <f>'Industrial Truck DSC'!B167</f>
        <v>Internal Billing Rates</v>
      </c>
      <c r="C40" s="33"/>
      <c r="D40" s="33"/>
      <c r="E40" s="33"/>
      <c r="F40" s="33"/>
      <c r="G40" s="33"/>
      <c r="H40" s="33"/>
      <c r="I40" s="33"/>
      <c r="J40" s="46" t="str">
        <f>'Industrial Truck DSC'!J167</f>
        <v>1=full retail pricing;  2=discount from retail;  3=cost</v>
      </c>
      <c r="K40" s="33"/>
      <c r="L40" s="33"/>
      <c r="M40" s="33"/>
      <c r="N40" s="33"/>
      <c r="O40" s="33"/>
      <c r="P40" s="33"/>
      <c r="Q40" s="33"/>
      <c r="R40" s="121"/>
      <c r="S40" s="33"/>
      <c r="W40" s="44"/>
    </row>
    <row r="41" spans="1:23" s="15" customFormat="1" ht="12.75" customHeight="1">
      <c r="A41" s="127"/>
      <c r="B41" s="33" t="str">
        <f>'Industrial Truck DSC'!B168</f>
        <v xml:space="preserve">Internal rate for parts </v>
      </c>
      <c r="C41" s="33"/>
      <c r="D41" s="33"/>
      <c r="E41" s="33"/>
      <c r="F41" s="33"/>
      <c r="G41" s="33"/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117" t="str">
        <f>IF(ISBLANK(IntParts),"_____________",IntParts)</f>
        <v>_____________</v>
      </c>
      <c r="S41" s="33"/>
      <c r="T41" s="34"/>
      <c r="W41" s="44"/>
    </row>
    <row r="42" spans="1:23" s="15" customFormat="1" ht="12.75" customHeight="1">
      <c r="A42" s="127"/>
      <c r="B42" s="33" t="str">
        <f>'Industrial Truck DSC'!B169</f>
        <v xml:space="preserve">Internal rate for service/installation </v>
      </c>
      <c r="C42" s="33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117" t="str">
        <f>IF(ISBLANK(IntSvc),"_____________",IntSvc)</f>
        <v>_____________</v>
      </c>
      <c r="S42" s="33"/>
      <c r="T42" s="118"/>
      <c r="W42" s="44"/>
    </row>
    <row r="43" spans="1:23" s="15" customFormat="1" ht="6" customHeight="1">
      <c r="A43" s="120"/>
      <c r="B43" s="33"/>
      <c r="C43" s="40"/>
      <c r="E43" s="40"/>
      <c r="F43" s="40"/>
      <c r="G43" s="40"/>
      <c r="H43" s="40"/>
      <c r="I43" s="40"/>
      <c r="J43" s="40"/>
      <c r="K43" s="40"/>
      <c r="L43" s="40"/>
      <c r="M43" s="40"/>
      <c r="N43" s="40"/>
      <c r="O43" s="40"/>
      <c r="P43" s="40"/>
      <c r="Q43" s="33"/>
      <c r="R43" s="46"/>
      <c r="S43" s="33"/>
      <c r="T43" s="34"/>
      <c r="W43" s="44"/>
    </row>
    <row r="44" spans="1:23" s="15" customFormat="1" ht="12.75" customHeight="1">
      <c r="A44" s="127" t="str">
        <f>'Deleted in 2022'!A11</f>
        <v>4.</v>
      </c>
      <c r="B44" s="37" t="str">
        <f>'Deleted in 2022'!B11</f>
        <v>Number of employees — Changed to number of employees by department</v>
      </c>
      <c r="C44" s="33"/>
      <c r="D44" s="33"/>
      <c r="E44" s="33"/>
      <c r="F44" s="33"/>
      <c r="G44" s="33"/>
      <c r="H44" s="33"/>
      <c r="I44" s="33"/>
      <c r="J44" s="33"/>
      <c r="K44" s="33"/>
      <c r="L44" s="33"/>
      <c r="M44" s="33"/>
      <c r="N44" s="33"/>
      <c r="O44" s="33"/>
      <c r="P44" s="33"/>
      <c r="Q44" s="33"/>
      <c r="R44" s="46"/>
      <c r="S44" s="33"/>
      <c r="T44" s="34"/>
      <c r="W44" s="44"/>
    </row>
    <row r="45" spans="1:23" s="15" customFormat="1" ht="12.75" customHeight="1">
      <c r="A45" s="32"/>
      <c r="B45" s="33" t="str">
        <f>'Industrial Truck DSC'!B106</f>
        <v>Executives</v>
      </c>
      <c r="C45" s="33"/>
      <c r="D45" s="33"/>
      <c r="E45" s="33"/>
      <c r="F45" s="33"/>
      <c r="G45" s="33"/>
      <c r="H45" s="33"/>
      <c r="I45" s="33"/>
      <c r="J45" s="33"/>
      <c r="K45" s="33"/>
      <c r="L45" s="33"/>
      <c r="M45" s="33"/>
      <c r="N45" s="33"/>
      <c r="O45" s="33"/>
      <c r="P45" s="33"/>
      <c r="Q45" s="33"/>
      <c r="R45" s="121" t="str">
        <f>IF(ISBLANK(EMP_Exec),"_____________",EMP_Exec)</f>
        <v>_____________</v>
      </c>
      <c r="S45" s="43"/>
      <c r="T45" s="43"/>
      <c r="U45" s="43"/>
      <c r="W45" s="122"/>
    </row>
    <row r="46" spans="1:23" s="15" customFormat="1" ht="12.75" customHeight="1">
      <c r="A46" s="32"/>
      <c r="B46" s="33" t="str">
        <f>'Industrial Truck DSC'!B107</f>
        <v>Sales Department</v>
      </c>
      <c r="C46" s="33"/>
      <c r="D46" s="33"/>
      <c r="E46" s="33"/>
      <c r="F46" s="33"/>
      <c r="G46" s="33"/>
      <c r="H46" s="33"/>
      <c r="I46" s="33"/>
      <c r="J46" s="33"/>
      <c r="K46" s="33"/>
      <c r="L46" s="33"/>
      <c r="M46" s="33"/>
      <c r="N46" s="33"/>
      <c r="O46" s="33"/>
      <c r="P46" s="33"/>
      <c r="Q46" s="33"/>
      <c r="R46" s="121" t="str">
        <f>IF(ISBLANK(EMP_Out),"_____________",EMP_Out)</f>
        <v>_____________</v>
      </c>
      <c r="S46" s="43"/>
      <c r="T46" s="43"/>
      <c r="U46" s="123"/>
      <c r="W46" s="124"/>
    </row>
    <row r="47" spans="1:23" s="15" customFormat="1" ht="12.75" customHeight="1">
      <c r="A47" s="32"/>
      <c r="B47" s="33" t="str">
        <f>'Industrial Truck DSC'!B108</f>
        <v>Sales Support / Customer Service / Inside Sales</v>
      </c>
      <c r="C47" s="33"/>
      <c r="D47" s="33"/>
      <c r="E47" s="33"/>
      <c r="F47" s="33"/>
      <c r="G47" s="33"/>
      <c r="H47" s="33"/>
      <c r="I47" s="33"/>
      <c r="J47" s="33"/>
      <c r="K47" s="33"/>
      <c r="L47" s="33"/>
      <c r="M47" s="33"/>
      <c r="N47" s="33"/>
      <c r="O47" s="33"/>
      <c r="P47" s="33"/>
      <c r="Q47" s="33"/>
      <c r="R47" s="121" t="str">
        <f>IF(ISBLANK(EMP_Inside),"_____________",EMP_Inside)</f>
        <v>_____________</v>
      </c>
      <c r="S47" s="43"/>
      <c r="T47" s="43"/>
      <c r="U47" s="43"/>
      <c r="V47" s="35"/>
      <c r="W47" s="44"/>
    </row>
    <row r="48" spans="1:23" s="15" customFormat="1" ht="12.75" customHeight="1">
      <c r="A48" s="32"/>
      <c r="B48" s="33" t="str">
        <f>'Industrial Truck DSC'!B109</f>
        <v>Rental Department — including manager</v>
      </c>
      <c r="C48" s="33"/>
      <c r="D48" s="33"/>
      <c r="E48" s="33"/>
      <c r="F48" s="33"/>
      <c r="G48" s="33"/>
      <c r="H48" s="33"/>
      <c r="I48" s="33"/>
      <c r="J48" s="33"/>
      <c r="K48" s="33"/>
      <c r="L48" s="33"/>
      <c r="M48" s="33"/>
      <c r="N48" s="33"/>
      <c r="O48" s="33"/>
      <c r="P48" s="33"/>
      <c r="Q48" s="33"/>
      <c r="R48" s="121" t="str">
        <f>IF(ISBLANK(EMP_Rental),"_____________",EMP_Rental)</f>
        <v>_____________</v>
      </c>
      <c r="S48" s="43"/>
      <c r="T48" s="43"/>
      <c r="U48" s="43"/>
      <c r="V48" s="35"/>
      <c r="W48" s="44"/>
    </row>
    <row r="49" spans="1:23" s="15" customFormat="1" ht="12.75" customHeight="1">
      <c r="A49" s="32"/>
      <c r="B49" s="33" t="str">
        <f>'Industrial Truck DSC'!B110</f>
        <v>Parts Department — including manager</v>
      </c>
      <c r="C49" s="33"/>
      <c r="D49" s="33"/>
      <c r="E49" s="33"/>
      <c r="F49" s="33"/>
      <c r="G49" s="33"/>
      <c r="H49" s="33"/>
      <c r="I49" s="33"/>
      <c r="J49" s="33"/>
      <c r="K49" s="33"/>
      <c r="L49" s="33"/>
      <c r="M49" s="33"/>
      <c r="N49" s="33"/>
      <c r="O49" s="33"/>
      <c r="P49" s="33"/>
      <c r="Q49" s="33"/>
      <c r="R49" s="121" t="str">
        <f>IF(ISBLANK(EMP_Parts),"_____________",EMP_Parts)</f>
        <v>_____________</v>
      </c>
      <c r="S49" s="43"/>
      <c r="T49" s="43"/>
      <c r="U49" s="43"/>
      <c r="V49" s="35"/>
      <c r="W49" s="44"/>
    </row>
    <row r="50" spans="1:23" s="15" customFormat="1" ht="12.75" customHeight="1">
      <c r="A50" s="32"/>
      <c r="B50" s="33" t="str">
        <f>'Industrial Truck DSC'!B35</f>
        <v>Number of Service Technicians</v>
      </c>
      <c r="C50" s="33"/>
      <c r="D50" s="33"/>
      <c r="E50" s="33"/>
      <c r="F50" s="33"/>
      <c r="G50" s="33"/>
      <c r="H50" s="33"/>
      <c r="I50" s="33"/>
      <c r="J50" s="33"/>
      <c r="K50" s="33"/>
      <c r="L50" s="33"/>
      <c r="M50" s="33"/>
      <c r="N50" s="33"/>
      <c r="O50" s="33"/>
      <c r="P50" s="33"/>
      <c r="Q50" s="33"/>
      <c r="R50" s="121" t="str">
        <f>IF(ISBLANK(EMP_Tech),"_____________",EMP_Tech)</f>
        <v>_____________</v>
      </c>
      <c r="S50" s="43"/>
      <c r="T50" s="43"/>
      <c r="U50" s="43"/>
      <c r="V50" s="35"/>
      <c r="W50" s="44"/>
    </row>
    <row r="51" spans="1:23" s="15" customFormat="1" ht="12.75" customHeight="1">
      <c r="A51" s="32"/>
      <c r="B51" s="33" t="str">
        <f>'Industrial Truck DSC'!B112</f>
        <v>Service Department — manager &amp; admin/support, not Techs</v>
      </c>
      <c r="C51" s="33"/>
      <c r="D51" s="33"/>
      <c r="E51" s="33"/>
      <c r="F51" s="33"/>
      <c r="G51" s="33"/>
      <c r="H51" s="33"/>
      <c r="I51" s="33"/>
      <c r="J51" s="33"/>
      <c r="K51" s="33"/>
      <c r="L51" s="33"/>
      <c r="M51" s="33"/>
      <c r="N51" s="33"/>
      <c r="O51" s="33"/>
      <c r="P51" s="33"/>
      <c r="Q51" s="33"/>
      <c r="R51" s="121" t="str">
        <f>IF(ISBLANK(EMP_SVC),"_____________",EMP_SVC)</f>
        <v>_____________</v>
      </c>
      <c r="S51" s="43"/>
      <c r="T51" s="43"/>
      <c r="U51" s="43"/>
      <c r="V51" s="35"/>
      <c r="W51" s="44"/>
    </row>
    <row r="52" spans="1:23" s="15" customFormat="1" ht="12.75" customHeight="1">
      <c r="A52" s="32"/>
      <c r="B52" s="33" t="str">
        <f>'Industrial Truck DSC'!B113</f>
        <v>Warehouse Employees / Drivers</v>
      </c>
      <c r="C52" s="33"/>
      <c r="D52" s="33"/>
      <c r="E52" s="33"/>
      <c r="F52" s="33"/>
      <c r="G52" s="33"/>
      <c r="H52" s="33"/>
      <c r="I52" s="33"/>
      <c r="J52" s="33"/>
      <c r="K52" s="33"/>
      <c r="L52" s="33"/>
      <c r="M52" s="33"/>
      <c r="N52" s="33"/>
      <c r="O52" s="33"/>
      <c r="P52" s="33"/>
      <c r="Q52" s="33"/>
      <c r="R52" s="121" t="str">
        <f>IF(ISBLANK(EMP_WHS),"_____________",EMP_WHS)</f>
        <v>_____________</v>
      </c>
      <c r="S52" s="43"/>
      <c r="T52" s="43"/>
      <c r="U52" s="43"/>
      <c r="V52" s="35"/>
      <c r="W52" s="44"/>
    </row>
    <row r="53" spans="1:23" s="15" customFormat="1" ht="12.75" customHeight="1">
      <c r="A53" s="32"/>
      <c r="B53" s="33" t="str">
        <f>'Industrial Truck DSC'!B114</f>
        <v>All Other Employees not included above</v>
      </c>
      <c r="C53" s="33"/>
      <c r="D53" s="33"/>
      <c r="E53" s="33"/>
      <c r="F53" s="33"/>
      <c r="G53" s="33"/>
      <c r="H53" s="33"/>
      <c r="I53" s="33"/>
      <c r="J53" s="33"/>
      <c r="K53" s="33"/>
      <c r="L53" s="33"/>
      <c r="M53" s="33"/>
      <c r="N53" s="33"/>
      <c r="O53" s="33"/>
      <c r="P53" s="33"/>
      <c r="Q53" s="33"/>
      <c r="R53" s="49" t="str">
        <f>IF(ISBLANK(Oemp),"_____________",Oemp)</f>
        <v>_____________</v>
      </c>
      <c r="S53" s="43"/>
      <c r="T53" s="43"/>
      <c r="U53" s="43"/>
      <c r="V53" s="35"/>
      <c r="W53" s="44"/>
    </row>
    <row r="54" spans="1:23" s="15" customFormat="1" ht="12.75" customHeight="1">
      <c r="A54" s="32"/>
      <c r="B54" s="33"/>
      <c r="C54" s="37" t="str">
        <f>'Industrial Truck DSC'!C115</f>
        <v>Total</v>
      </c>
      <c r="D54" s="33"/>
      <c r="E54" s="33"/>
      <c r="F54" s="33"/>
      <c r="G54" s="33"/>
      <c r="H54" s="33"/>
      <c r="I54" s="33"/>
      <c r="J54" s="33"/>
      <c r="K54" s="33"/>
      <c r="L54" s="33"/>
      <c r="M54" s="33"/>
      <c r="N54" s="33"/>
      <c r="O54" s="33"/>
      <c r="P54" s="33"/>
      <c r="Q54" s="33"/>
      <c r="R54" s="125" t="str">
        <f>IF((Emp&gt;0),Emp,"_____________")</f>
        <v>_____________</v>
      </c>
      <c r="S54" s="43"/>
      <c r="T54" s="43"/>
      <c r="U54" s="43"/>
      <c r="V54" s="35"/>
      <c r="W54" s="44"/>
    </row>
    <row r="55" spans="1:23" s="15" customFormat="1" ht="12.75" customHeight="1">
      <c r="A55" s="127"/>
      <c r="B55" s="37"/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121"/>
      <c r="S55" s="43"/>
      <c r="T55" s="43"/>
      <c r="U55" s="43"/>
      <c r="V55" s="35"/>
      <c r="W55" s="44"/>
    </row>
    <row r="56" spans="1:23" s="15" customFormat="1" ht="12.75" customHeight="1">
      <c r="A56" s="127" t="str">
        <f>'Deleted in 2022'!A23</f>
        <v>5.</v>
      </c>
      <c r="B56" s="37" t="str">
        <f>'Deleted in 2022'!B23</f>
        <v>Salaries, Wages, Commissions &amp; Bonuses</v>
      </c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121"/>
      <c r="S56" s="43"/>
      <c r="T56" s="43"/>
      <c r="U56" s="43"/>
      <c r="V56" s="35"/>
      <c r="W56" s="44"/>
    </row>
    <row r="57" spans="1:23" s="15" customFormat="1" ht="12.75" customHeight="1">
      <c r="A57" s="127"/>
      <c r="B57" s="33" t="str">
        <f>'Deleted in 2022'!B24</f>
        <v>Executives</v>
      </c>
      <c r="C57" s="33"/>
      <c r="D57" s="33"/>
      <c r="E57" s="33"/>
      <c r="F57" s="33"/>
      <c r="G57" s="33"/>
      <c r="H57" s="33"/>
      <c r="I57" s="33"/>
      <c r="J57" s="33"/>
      <c r="K57" s="33"/>
      <c r="L57" s="33"/>
      <c r="M57" s="33"/>
      <c r="N57" s="33"/>
      <c r="O57" s="33"/>
      <c r="P57" s="33"/>
      <c r="Q57" s="33"/>
      <c r="R57" s="190" t="str">
        <f>IF(ISBLANK(PA_Exec),"_____________",PA_Exec)</f>
        <v>_____________</v>
      </c>
      <c r="S57" s="43"/>
      <c r="T57" s="43"/>
      <c r="U57" s="43"/>
      <c r="V57" s="35"/>
      <c r="W57" s="44"/>
    </row>
    <row r="58" spans="1:23" s="15" customFormat="1" ht="12.75" customHeight="1">
      <c r="A58" s="32"/>
      <c r="B58" s="33" t="str">
        <f>'Deleted in 2022'!B25</f>
        <v>Outside Sales, including sales manager</v>
      </c>
      <c r="C58" s="33"/>
      <c r="D58" s="33"/>
      <c r="E58" s="33"/>
      <c r="F58" s="33"/>
      <c r="G58" s="33"/>
      <c r="H58" s="33"/>
      <c r="I58" s="33"/>
      <c r="J58" s="33"/>
      <c r="K58" s="33"/>
      <c r="L58" s="33"/>
      <c r="M58" s="33"/>
      <c r="N58" s="33"/>
      <c r="O58" s="33"/>
      <c r="P58" s="33"/>
      <c r="Q58" s="33"/>
      <c r="R58" s="190" t="str">
        <f>IF(ISBLANK(PA_Out),"_____________",PA_Out)</f>
        <v>_____________</v>
      </c>
      <c r="S58" s="43"/>
      <c r="T58" s="43"/>
      <c r="U58" s="43"/>
      <c r="V58" s="35"/>
      <c r="W58" s="44"/>
    </row>
    <row r="59" spans="1:23" s="15" customFormat="1" ht="12.75" customHeight="1">
      <c r="A59" s="32"/>
      <c r="B59" s="33" t="str">
        <f>'Deleted in 2022'!B26</f>
        <v>Sales Support / Customer Service / Inside Sales</v>
      </c>
      <c r="C59" s="33"/>
      <c r="D59" s="33"/>
      <c r="E59" s="33"/>
      <c r="F59" s="33"/>
      <c r="G59" s="33"/>
      <c r="H59" s="33"/>
      <c r="I59" s="33"/>
      <c r="J59" s="33"/>
      <c r="K59" s="33"/>
      <c r="L59" s="33"/>
      <c r="M59" s="33"/>
      <c r="N59" s="33"/>
      <c r="O59" s="33"/>
      <c r="P59" s="33"/>
      <c r="Q59" s="33"/>
      <c r="R59" s="190" t="str">
        <f>IF(ISBLANK(PA_Inside),"_____________",PA_Inside)</f>
        <v>_____________</v>
      </c>
      <c r="S59" s="43"/>
      <c r="T59" s="43"/>
      <c r="U59" s="43"/>
      <c r="V59" s="35"/>
      <c r="W59" s="44"/>
    </row>
    <row r="60" spans="1:23" s="15" customFormat="1" ht="12.75" customHeight="1">
      <c r="A60" s="32"/>
      <c r="B60" s="33" t="str">
        <f>'Deleted in 2022'!B27</f>
        <v>Rental Department, including manager</v>
      </c>
      <c r="C60" s="33"/>
      <c r="D60" s="33"/>
      <c r="E60" s="33"/>
      <c r="F60" s="33"/>
      <c r="G60" s="33"/>
      <c r="H60" s="33"/>
      <c r="I60" s="33"/>
      <c r="J60" s="33"/>
      <c r="K60" s="33"/>
      <c r="L60" s="33"/>
      <c r="M60" s="33"/>
      <c r="N60" s="33"/>
      <c r="O60" s="33"/>
      <c r="P60" s="33"/>
      <c r="Q60" s="33"/>
      <c r="R60" s="190" t="str">
        <f>IF(ISBLANK(PA_Rental),"_____________",PA_Rental)</f>
        <v>_____________</v>
      </c>
      <c r="S60" s="43"/>
      <c r="T60" s="43"/>
      <c r="U60" s="43"/>
      <c r="V60" s="35"/>
      <c r="W60" s="44"/>
    </row>
    <row r="61" spans="1:23" s="15" customFormat="1" ht="12.75" customHeight="1">
      <c r="A61" s="32"/>
      <c r="B61" s="33" t="str">
        <f>'Deleted in 2022'!B28</f>
        <v>Parts Department, including manager</v>
      </c>
      <c r="C61" s="33"/>
      <c r="D61" s="33"/>
      <c r="E61" s="33"/>
      <c r="F61" s="33"/>
      <c r="G61" s="33"/>
      <c r="H61" s="33"/>
      <c r="I61" s="33"/>
      <c r="J61" s="33"/>
      <c r="K61" s="33"/>
      <c r="L61" s="33"/>
      <c r="M61" s="33"/>
      <c r="N61" s="33"/>
      <c r="O61" s="33"/>
      <c r="P61" s="33"/>
      <c r="Q61" s="33"/>
      <c r="R61" s="190" t="str">
        <f>IF(ISBLANK(PA_Parts),"_____________",PA_Parts)</f>
        <v>_____________</v>
      </c>
      <c r="S61" s="43"/>
      <c r="T61" s="43"/>
      <c r="U61" s="43"/>
      <c r="V61" s="35"/>
      <c r="W61" s="44"/>
    </row>
    <row r="62" spans="1:23" s="15" customFormat="1" ht="12.75" customHeight="1">
      <c r="A62" s="32"/>
      <c r="B62" s="33" t="str">
        <f>'Deleted in 2022'!B29</f>
        <v>Service Technicians</v>
      </c>
      <c r="C62" s="33"/>
      <c r="D62" s="33"/>
      <c r="E62" s="33"/>
      <c r="F62" s="33"/>
      <c r="G62" s="33"/>
      <c r="H62" s="33"/>
      <c r="I62" s="33"/>
      <c r="J62" s="33"/>
      <c r="K62" s="33"/>
      <c r="L62" s="33"/>
      <c r="M62" s="33"/>
      <c r="N62" s="33"/>
      <c r="O62" s="33"/>
      <c r="P62" s="33"/>
      <c r="Q62" s="33"/>
      <c r="R62" s="190">
        <f>IF(ISBLANK(PA_Tech),"_____________",PA_Tech)</f>
        <v>0</v>
      </c>
      <c r="S62" s="43"/>
      <c r="T62" s="43"/>
      <c r="U62" s="43"/>
      <c r="V62" s="35"/>
      <c r="W62" s="44"/>
    </row>
    <row r="63" spans="1:23" s="15" customFormat="1" ht="12.75" customHeight="1">
      <c r="A63" s="32"/>
      <c r="B63" s="33" t="str">
        <f>'Deleted in 2022'!B30</f>
        <v>Service Dept. other than techs, include manager and admin/support</v>
      </c>
      <c r="C63" s="33"/>
      <c r="D63" s="33"/>
      <c r="E63" s="33"/>
      <c r="F63" s="33"/>
      <c r="G63" s="33"/>
      <c r="H63" s="33"/>
      <c r="I63" s="33"/>
      <c r="J63" s="33"/>
      <c r="K63" s="33"/>
      <c r="L63" s="33"/>
      <c r="M63" s="33"/>
      <c r="N63" s="33"/>
      <c r="O63" s="33"/>
      <c r="P63" s="33"/>
      <c r="Q63" s="33"/>
      <c r="R63" s="190" t="str">
        <f>IF(ISBLANK(PA_SVC),"_____________",PA_SVC)</f>
        <v>_____________</v>
      </c>
      <c r="S63" s="43"/>
      <c r="T63" s="43"/>
      <c r="U63" s="43"/>
      <c r="V63" s="35"/>
      <c r="W63" s="44"/>
    </row>
    <row r="64" spans="1:23" s="15" customFormat="1" ht="12.75" customHeight="1">
      <c r="A64" s="32"/>
      <c r="B64" s="33" t="str">
        <f>'Deleted in 2022'!B31</f>
        <v>Warehouse Employees / Drivers</v>
      </c>
      <c r="C64" s="33"/>
      <c r="D64" s="33"/>
      <c r="E64" s="33"/>
      <c r="F64" s="33"/>
      <c r="G64" s="33"/>
      <c r="H64" s="33"/>
      <c r="I64" s="33"/>
      <c r="J64" s="33"/>
      <c r="K64" s="33"/>
      <c r="L64" s="33"/>
      <c r="M64" s="33"/>
      <c r="N64" s="33"/>
      <c r="O64" s="33"/>
      <c r="P64" s="33"/>
      <c r="Q64" s="33"/>
      <c r="R64" s="190" t="str">
        <f>IF(ISBLANK(PA_WHS),"_____________",PA_WHS)</f>
        <v>_____________</v>
      </c>
      <c r="S64" s="43"/>
      <c r="T64" s="43"/>
      <c r="U64" s="43"/>
      <c r="V64" s="35"/>
      <c r="W64" s="44"/>
    </row>
    <row r="65" spans="1:23" s="15" customFormat="1" ht="12.75" customHeight="1">
      <c r="A65" s="32"/>
      <c r="B65" s="33" t="str">
        <f>'Deleted in 2022'!B32</f>
        <v>All Other Employees, Admin./Clerical &amp; other compensation not included above</v>
      </c>
      <c r="C65" s="33"/>
      <c r="D65" s="33"/>
      <c r="E65" s="33"/>
      <c r="F65" s="33"/>
      <c r="G65" s="33"/>
      <c r="H65" s="33"/>
      <c r="I65" s="33"/>
      <c r="J65" s="33"/>
      <c r="K65" s="33"/>
      <c r="L65" s="33"/>
      <c r="M65" s="33"/>
      <c r="N65" s="33"/>
      <c r="O65" s="33"/>
      <c r="P65" s="33"/>
      <c r="Q65" s="33"/>
      <c r="R65" s="222">
        <f>IF(ISBLANK(PA_OTH),"_____________",PA_OTH)</f>
        <v>0</v>
      </c>
      <c r="S65" s="43"/>
      <c r="T65" s="43"/>
      <c r="U65" s="43"/>
      <c r="V65" s="35"/>
      <c r="W65" s="44"/>
    </row>
    <row r="66" spans="1:23" s="15" customFormat="1" ht="12.75" customHeight="1">
      <c r="A66" s="32"/>
      <c r="B66" s="33"/>
      <c r="C66" s="37">
        <f>'Deleted in 2022'!C33</f>
        <v>0</v>
      </c>
      <c r="D66" s="33"/>
      <c r="E66" s="33"/>
      <c r="F66" s="33"/>
      <c r="G66" s="33"/>
      <c r="H66" s="33"/>
      <c r="I66" s="33"/>
      <c r="J66" s="33"/>
      <c r="K66" s="33"/>
      <c r="L66" s="33"/>
      <c r="M66" s="33"/>
      <c r="N66" s="33"/>
      <c r="O66" s="33"/>
      <c r="P66" s="33"/>
      <c r="Q66" s="33"/>
      <c r="R66" s="223" t="str">
        <f>IF((SAL_TOT&gt;0),SAL_TOT,"_____________")</f>
        <v>_____________</v>
      </c>
      <c r="S66" s="43"/>
      <c r="T66" s="43"/>
      <c r="U66" s="43"/>
      <c r="V66" s="35"/>
      <c r="W66" s="44"/>
    </row>
    <row r="67" spans="1:23" s="15" customFormat="1" ht="12.75" customHeight="1">
      <c r="A67" s="32"/>
      <c r="S67" s="43"/>
      <c r="T67" s="43"/>
      <c r="U67" s="43"/>
      <c r="V67" s="35"/>
    </row>
    <row r="68" spans="1:23" s="15" customFormat="1" ht="12.75" customHeight="1">
      <c r="A68" s="32" t="str">
        <f>'Industrial Truck DSC'!A34</f>
        <v>1.</v>
      </c>
      <c r="B68" s="37" t="str">
        <f>'Industrial Truck DSC'!B34</f>
        <v>Service Technician Hours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46"/>
      <c r="S68" s="33"/>
      <c r="V68" s="35"/>
      <c r="W68" s="44"/>
    </row>
    <row r="69" spans="1:23" s="15" customFormat="1" ht="12.75" customHeight="1">
      <c r="A69" s="32"/>
      <c r="B69" s="46" t="str">
        <f>'Industrial Truck DSC'!B36</f>
        <v>Total technician applied hours (hours which could be billed for jobs)</v>
      </c>
      <c r="C69" s="33"/>
      <c r="D69" s="33"/>
      <c r="E69" s="33"/>
      <c r="F69" s="33"/>
      <c r="G69" s="33"/>
      <c r="H69" s="33"/>
      <c r="I69" s="33"/>
      <c r="J69" s="33"/>
      <c r="K69" s="33"/>
      <c r="L69" s="33"/>
      <c r="M69" s="33"/>
      <c r="N69" s="33"/>
      <c r="O69" s="33"/>
      <c r="P69" s="33"/>
      <c r="Q69" s="33"/>
      <c r="R69" s="121" t="str">
        <f>IF(ISBLANK(TechApplied),"_____________",TechApplied)</f>
        <v>_____________</v>
      </c>
      <c r="S69" s="13" t="str">
        <f>IF(ISBLANK('Industrial Truck DSC'!U36),"__________",'Industrial Truck DSC'!U36)</f>
        <v>hrs.</v>
      </c>
      <c r="V69" s="35"/>
      <c r="W69" s="44"/>
    </row>
    <row r="70" spans="1:23" s="15" customFormat="1" ht="12.75" customHeight="1">
      <c r="A70" s="32"/>
      <c r="B70" s="46" t="str">
        <f>'Industrial Truck DSC'!B37</f>
        <v>Total labor hours actually billed</v>
      </c>
      <c r="C70" s="33"/>
      <c r="D70" s="33"/>
      <c r="E70" s="33"/>
      <c r="F70" s="33"/>
      <c r="G70" s="33"/>
      <c r="H70" s="33"/>
      <c r="I70" s="33"/>
      <c r="J70" s="33"/>
      <c r="K70" s="33"/>
      <c r="L70" s="33"/>
      <c r="M70" s="33"/>
      <c r="N70" s="33"/>
      <c r="O70" s="33"/>
      <c r="P70" s="33"/>
      <c r="Q70" s="33"/>
      <c r="R70" s="121" t="str">
        <f>IF(ISBLANK(TechBilled),"_____________",TechBilled)</f>
        <v>_____________</v>
      </c>
      <c r="S70" s="13" t="str">
        <f>IF(ISBLANK('Industrial Truck DSC'!U37),"__________",'Industrial Truck DSC'!U37)</f>
        <v>hrs.</v>
      </c>
      <c r="V70" s="35"/>
      <c r="W70" s="122"/>
    </row>
    <row r="71" spans="1:23" s="15" customFormat="1" ht="12.75" customHeight="1">
      <c r="A71" s="32"/>
      <c r="B71" s="46" t="str">
        <f>'Industrial Truck DSC'!B39</f>
        <v>Total hours paid to technicians</v>
      </c>
      <c r="C71" s="33"/>
      <c r="D71" s="33"/>
      <c r="E71" s="33"/>
      <c r="F71" s="33"/>
      <c r="G71" s="33"/>
      <c r="H71" s="33"/>
      <c r="I71" s="33"/>
      <c r="J71" s="33"/>
      <c r="K71" s="33"/>
      <c r="L71" s="33"/>
      <c r="M71" s="33"/>
      <c r="N71" s="33"/>
      <c r="O71" s="33"/>
      <c r="P71" s="33"/>
      <c r="Q71" s="33"/>
      <c r="R71" s="121" t="str">
        <f>IF(ISBLANK(TechPaid),"_____________",TechPaid)</f>
        <v>_____________</v>
      </c>
      <c r="S71" s="40" t="str">
        <f>'Industrial Truck DSC'!U39</f>
        <v>hrs.</v>
      </c>
      <c r="W71" s="44"/>
    </row>
    <row r="72" spans="1:23" s="15" customFormat="1" ht="6" customHeight="1">
      <c r="A72" s="32"/>
      <c r="B72" s="33"/>
      <c r="C72" s="33"/>
      <c r="D72" s="33"/>
      <c r="E72" s="33"/>
      <c r="F72" s="33"/>
      <c r="G72" s="33"/>
      <c r="H72" s="33"/>
      <c r="I72" s="33"/>
      <c r="J72" s="33"/>
      <c r="K72" s="33"/>
      <c r="L72" s="33"/>
      <c r="M72" s="33"/>
      <c r="O72" s="33"/>
      <c r="P72" s="33"/>
      <c r="Q72" s="33"/>
      <c r="R72" s="121"/>
      <c r="V72" s="35"/>
      <c r="W72" s="122"/>
    </row>
    <row r="73" spans="1:23" s="15" customFormat="1" ht="12.75" customHeight="1">
      <c r="A73" s="32" t="str">
        <f>'Industrial Truck DSC'!A43</f>
        <v>2.</v>
      </c>
      <c r="B73" s="37" t="str">
        <f>'Industrial Truck DSC'!B42</f>
        <v>Service</v>
      </c>
      <c r="C73" s="33"/>
      <c r="D73" s="33"/>
      <c r="E73" s="33"/>
      <c r="F73" s="33"/>
      <c r="G73" s="33"/>
      <c r="H73" s="33"/>
      <c r="I73" s="33"/>
      <c r="J73" s="33"/>
      <c r="K73" s="33"/>
      <c r="L73" s="33"/>
      <c r="M73" s="33"/>
      <c r="O73" s="33"/>
      <c r="P73" s="33"/>
      <c r="Q73" s="33"/>
      <c r="R73" s="121"/>
      <c r="V73" s="35"/>
      <c r="W73" s="44"/>
    </row>
    <row r="74" spans="1:23" s="15" customFormat="1" ht="12.75" customHeight="1">
      <c r="A74" s="32"/>
      <c r="B74" s="33" t="str">
        <f>'Industrial Truck DSC'!B43</f>
        <v>Service calls per month</v>
      </c>
      <c r="C74" s="33"/>
      <c r="D74" s="33"/>
      <c r="E74" s="33"/>
      <c r="F74" s="33"/>
      <c r="G74" s="33"/>
      <c r="H74" s="33"/>
      <c r="I74" s="33"/>
      <c r="J74" s="33"/>
      <c r="K74" s="33"/>
      <c r="L74" s="33"/>
      <c r="M74" s="33"/>
      <c r="O74" s="33"/>
      <c r="P74" s="33"/>
      <c r="Q74" s="33"/>
      <c r="R74" s="121" t="str">
        <f>IF(ISBLANK(SvcCalls),"_____________",SvcCalls)</f>
        <v>_____________</v>
      </c>
      <c r="S74" s="35"/>
      <c r="V74" s="35"/>
      <c r="W74" s="44"/>
    </row>
    <row r="75" spans="1:23" s="15" customFormat="1" ht="12.75" customHeight="1">
      <c r="A75" s="32"/>
      <c r="B75" s="33" t="str">
        <f>'Industrial Truck DSC'!B44</f>
        <v>Service vehicle expenses</v>
      </c>
      <c r="C75" s="33"/>
      <c r="D75" s="33"/>
      <c r="E75" s="33"/>
      <c r="F75" s="33"/>
      <c r="G75" s="33"/>
      <c r="H75" s="33"/>
      <c r="I75" s="33"/>
      <c r="J75" s="33"/>
      <c r="K75" s="33"/>
      <c r="L75" s="33"/>
      <c r="M75" s="33"/>
      <c r="O75" s="33"/>
      <c r="P75" s="33"/>
      <c r="Q75" s="33"/>
      <c r="R75" s="121" t="str">
        <f>IF(ISBLANK(SvcVeh_),"_____________",SvcVeh_)</f>
        <v>_____________</v>
      </c>
      <c r="S75" s="35"/>
      <c r="V75" s="35"/>
      <c r="W75" s="44"/>
    </row>
    <row r="76" spans="1:23" s="15" customFormat="1" ht="12.75" customHeight="1">
      <c r="A76" s="32"/>
      <c r="B76" s="33" t="str">
        <f>'Industrial Truck DSC'!B45</f>
        <v>Service vehicle expenses recovered</v>
      </c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O76" s="33"/>
      <c r="P76" s="33"/>
      <c r="Q76" s="33"/>
      <c r="R76" s="121" t="str">
        <f>IF(ISBLANK(SvcRecover),"_____________",SvcRecover)</f>
        <v>_____________</v>
      </c>
      <c r="S76" s="35"/>
      <c r="V76" s="35"/>
      <c r="W76" s="44"/>
    </row>
    <row r="77" spans="1:23" s="15" customFormat="1" ht="12.75" customHeight="1">
      <c r="A77" s="32"/>
      <c r="B77" s="33" t="str">
        <f>'Industrial Truck DSC'!B46</f>
        <v>Jobs/projects requiring installation per month</v>
      </c>
      <c r="C77" s="33"/>
      <c r="D77" s="33"/>
      <c r="E77" s="33"/>
      <c r="F77" s="33"/>
      <c r="G77" s="33"/>
      <c r="H77" s="33"/>
      <c r="I77" s="33"/>
      <c r="J77" s="33"/>
      <c r="K77" s="33"/>
      <c r="L77" s="33"/>
      <c r="M77" s="33"/>
      <c r="O77" s="33"/>
      <c r="P77" s="33"/>
      <c r="Q77" s="33"/>
      <c r="R77" s="121" t="str">
        <f>IF(ISBLANK(SvcJobs),"_____________",SvcJobs)</f>
        <v>_____________</v>
      </c>
      <c r="S77" s="35"/>
      <c r="V77" s="35"/>
      <c r="W77" s="44"/>
    </row>
    <row r="78" spans="1:23" s="15" customFormat="1" ht="12.75" customHeight="1">
      <c r="A78" s="32"/>
      <c r="B78" s="33"/>
      <c r="C78" s="37"/>
      <c r="D78" s="33"/>
      <c r="E78" s="33"/>
      <c r="F78" s="33"/>
      <c r="G78" s="33"/>
      <c r="H78" s="33"/>
      <c r="I78" s="33"/>
      <c r="J78" s="33"/>
      <c r="K78" s="33"/>
      <c r="L78" s="33"/>
      <c r="M78" s="33"/>
      <c r="N78" s="33"/>
      <c r="O78" s="33"/>
      <c r="P78" s="33"/>
      <c r="Q78" s="33"/>
      <c r="R78" s="125"/>
      <c r="S78" s="119"/>
      <c r="V78" s="35"/>
      <c r="W78" s="122"/>
    </row>
    <row r="79" spans="1:23" s="15" customFormat="1" ht="12.75" customHeight="1">
      <c r="A79" s="32" t="str">
        <f>'Industrial Truck DSC'!A48</f>
        <v>3.</v>
      </c>
      <c r="B79" s="37" t="str">
        <f>'Industrial Truck DSC'!B48</f>
        <v>Short Term Rental</v>
      </c>
      <c r="C79" s="33"/>
      <c r="D79" s="33"/>
      <c r="E79" s="33"/>
      <c r="F79" s="33"/>
      <c r="G79" s="33"/>
      <c r="H79" s="33"/>
      <c r="I79" s="33"/>
      <c r="J79" s="33"/>
      <c r="K79" s="33"/>
      <c r="L79" s="33"/>
      <c r="M79" s="33"/>
      <c r="N79" s="33"/>
      <c r="O79" s="33"/>
      <c r="P79" s="33"/>
      <c r="Q79" s="33"/>
      <c r="R79" s="33"/>
      <c r="S79" s="33"/>
      <c r="U79" s="44"/>
      <c r="V79" s="35"/>
      <c r="W79" s="126"/>
    </row>
    <row r="80" spans="1:23" s="15" customFormat="1" ht="12.75" customHeight="1">
      <c r="A80" s="32"/>
      <c r="B80" s="33" t="str">
        <f>'Industrial Truck DSC'!B49</f>
        <v>Short term rental units</v>
      </c>
      <c r="C80" s="33"/>
      <c r="D80" s="33"/>
      <c r="E80" s="33"/>
      <c r="F80" s="33"/>
      <c r="G80" s="33"/>
      <c r="H80" s="33"/>
      <c r="I80" s="33"/>
      <c r="J80" s="33"/>
      <c r="K80" s="33"/>
      <c r="L80" s="33"/>
      <c r="M80" s="33"/>
      <c r="N80" s="33"/>
      <c r="O80" s="33"/>
      <c r="P80" s="33"/>
      <c r="Q80" s="33"/>
      <c r="R80" s="121" t="str">
        <f>IF(ISBLANK(STunits),"_____________",STunits)</f>
        <v>_____________</v>
      </c>
      <c r="S80" s="35" t="s">
        <v>171</v>
      </c>
      <c r="V80" s="35"/>
      <c r="W80" s="126"/>
    </row>
    <row r="81" spans="1:23" s="15" customFormat="1" ht="12.75" customHeight="1">
      <c r="A81" s="32"/>
      <c r="B81" s="33" t="str">
        <f>'Industrial Truck DSC'!B50</f>
        <v>Acquisition value of short term rental fleet</v>
      </c>
      <c r="C81" s="33"/>
      <c r="D81" s="33"/>
      <c r="E81" s="33"/>
      <c r="F81" s="33"/>
      <c r="G81" s="33"/>
      <c r="H81" s="33"/>
      <c r="I81" s="33"/>
      <c r="J81" s="33"/>
      <c r="K81" s="33"/>
      <c r="L81" s="33"/>
      <c r="M81" s="33"/>
      <c r="N81" s="33"/>
      <c r="O81" s="33"/>
      <c r="P81" s="33"/>
      <c r="Q81" s="33"/>
      <c r="R81" s="190" t="str">
        <f>IF(ISBLANK(STvalue),"_____________",STvalue)</f>
        <v>_____________</v>
      </c>
      <c r="S81" s="35"/>
      <c r="V81" s="34"/>
      <c r="W81" s="126"/>
    </row>
    <row r="82" spans="1:23" s="15" customFormat="1" ht="12.75" customHeight="1">
      <c r="A82" s="32"/>
      <c r="B82" s="33" t="str">
        <f>'Industrial Truck DSC'!B51</f>
        <v>Time utilization of short term rental fleet (%)</v>
      </c>
      <c r="C82" s="33"/>
      <c r="D82" s="33"/>
      <c r="E82" s="33"/>
      <c r="F82" s="33"/>
      <c r="G82" s="33"/>
      <c r="H82" s="33"/>
      <c r="I82" s="33"/>
      <c r="J82" s="33"/>
      <c r="K82" s="33"/>
      <c r="L82" s="33"/>
      <c r="M82" s="33"/>
      <c r="N82" s="33"/>
      <c r="O82" s="33"/>
      <c r="P82" s="33"/>
      <c r="Q82" s="33"/>
      <c r="R82" s="121" t="str">
        <f>IF(ISBLANK(STutil),"_____________",STutil)</f>
        <v>_____________</v>
      </c>
      <c r="S82" s="44" t="s">
        <v>3</v>
      </c>
      <c r="V82" s="35"/>
      <c r="W82" s="126"/>
    </row>
    <row r="83" spans="1:23" s="15" customFormat="1" ht="12.75" customHeight="1">
      <c r="V83" s="34"/>
      <c r="W83" s="124"/>
    </row>
    <row r="84" spans="1:23" ht="15" customHeight="1">
      <c r="A84" s="32" t="str">
        <f>'Industrial Truck DSC'!A123</f>
        <v>9.</v>
      </c>
      <c r="B84" s="33" t="str">
        <f>'Industrial Truck DSC'!B123</f>
        <v>Average accounts receivable</v>
      </c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8"/>
      <c r="O84" s="33"/>
      <c r="P84" s="33"/>
      <c r="Q84" s="33"/>
      <c r="R84" s="33"/>
      <c r="S84" s="34" t="str">
        <f>IF(ISBLANK('Industrial Truck DSC'!S123),"__________",'Industrial Truck DSC'!S123)</f>
        <v>$</v>
      </c>
      <c r="T84" s="130" t="str">
        <f>IF(ISBLANK(AAR),"____________________",AAR)</f>
        <v>____________________</v>
      </c>
      <c r="V84" s="119"/>
      <c r="W84" s="124"/>
    </row>
    <row r="85" spans="1:23" ht="15" customHeight="1">
      <c r="A85" s="32" t="str">
        <f>'Industrial Truck DSC'!A124</f>
        <v>10.</v>
      </c>
      <c r="B85" s="33" t="str">
        <f>'Industrial Truck DSC'!B124</f>
        <v>Average accounts payable</v>
      </c>
      <c r="C85" s="37"/>
      <c r="D85" s="37"/>
      <c r="E85" s="37"/>
      <c r="F85" s="37"/>
      <c r="G85" s="37"/>
      <c r="H85" s="37"/>
      <c r="I85" s="37"/>
      <c r="J85" s="37"/>
      <c r="K85" s="37"/>
      <c r="L85" s="37"/>
      <c r="M85" s="37"/>
      <c r="N85" s="38"/>
      <c r="O85" s="37"/>
      <c r="P85" s="37"/>
      <c r="Q85" s="37"/>
      <c r="R85" s="37"/>
      <c r="S85" s="34" t="str">
        <f>IF(ISBLANK('Industrial Truck DSC'!S124),"__________",'Industrial Truck DSC'!S124)</f>
        <v>$</v>
      </c>
      <c r="T85" s="130" t="str">
        <f>IF(ISBLANK(AAP),"____________________",AAP)</f>
        <v>____________________</v>
      </c>
      <c r="V85" s="119"/>
      <c r="W85" s="124"/>
    </row>
    <row r="86" spans="1:23" s="1" customFormat="1" ht="15" customHeight="1">
      <c r="A86" s="32" t="str">
        <f>'Industrial Truck DSC'!A126</f>
        <v>11.</v>
      </c>
      <c r="B86" s="33" t="str">
        <f>'Industrial Truck DSC'!B126</f>
        <v xml:space="preserve">Inventory Aging </v>
      </c>
      <c r="C86" s="42"/>
      <c r="D86" s="42"/>
      <c r="E86" s="42"/>
      <c r="F86" s="42"/>
      <c r="G86" s="42"/>
      <c r="H86" s="42"/>
      <c r="I86" s="42"/>
      <c r="J86" s="42"/>
      <c r="K86" s="42"/>
      <c r="L86" s="42"/>
      <c r="M86" s="42"/>
      <c r="N86" s="42"/>
      <c r="O86" s="42"/>
      <c r="P86" s="42"/>
      <c r="Q86" s="42"/>
      <c r="R86" s="42"/>
      <c r="S86" s="125"/>
      <c r="T86" s="130"/>
      <c r="V86" s="34"/>
      <c r="W86" s="128"/>
    </row>
    <row r="87" spans="1:23" s="1" customFormat="1" ht="15" customHeight="1">
      <c r="A87" s="32"/>
      <c r="B87" s="33" t="str">
        <f>'Industrial Truck DSC'!B127</f>
        <v>New Power Equipment over 12 months old</v>
      </c>
      <c r="C87" s="42"/>
      <c r="D87" s="42"/>
      <c r="E87" s="42"/>
      <c r="F87" s="42"/>
      <c r="G87" s="42"/>
      <c r="H87" s="42"/>
      <c r="I87" s="42"/>
      <c r="J87" s="42"/>
      <c r="K87" s="42"/>
      <c r="L87" s="42"/>
      <c r="M87" s="42"/>
      <c r="N87" s="42"/>
      <c r="O87" s="42"/>
      <c r="P87" s="42"/>
      <c r="Q87" s="42"/>
      <c r="R87" s="42"/>
      <c r="S87" s="125"/>
      <c r="T87" s="187" t="str">
        <f>IF(ISBLANK(AgeNew),"___________________",AgeNew)</f>
        <v>___________________</v>
      </c>
      <c r="U87" s="1" t="s">
        <v>3</v>
      </c>
      <c r="V87" s="34"/>
      <c r="W87" s="128"/>
    </row>
    <row r="88" spans="1:23" s="1" customFormat="1" ht="15" customHeight="1">
      <c r="A88" s="32"/>
      <c r="B88" s="33" t="str">
        <f>'Industrial Truck DSC'!B128</f>
        <v>Used Power Equipment over 12 months old</v>
      </c>
      <c r="C88" s="42"/>
      <c r="D88" s="42"/>
      <c r="E88" s="42"/>
      <c r="F88" s="42"/>
      <c r="G88" s="42"/>
      <c r="H88" s="42"/>
      <c r="I88" s="42"/>
      <c r="J88" s="42"/>
      <c r="K88" s="42"/>
      <c r="L88" s="42"/>
      <c r="M88" s="42"/>
      <c r="N88" s="42"/>
      <c r="O88" s="42"/>
      <c r="P88" s="42"/>
      <c r="Q88" s="42"/>
      <c r="R88" s="42"/>
      <c r="S88" s="125"/>
      <c r="T88" s="187" t="str">
        <f>IF(ISBLANK(AgeUsed),"___________________",AgeUsed)</f>
        <v>___________________</v>
      </c>
      <c r="U88" s="1" t="s">
        <v>3</v>
      </c>
      <c r="V88" s="34"/>
      <c r="W88" s="128"/>
    </row>
    <row r="89" spans="1:23" s="1" customFormat="1" ht="15" customHeight="1">
      <c r="A89" s="127"/>
      <c r="B89" s="33" t="str">
        <f>'Industrial Truck DSC'!B129</f>
        <v>Parts Inventory over 12 months old</v>
      </c>
      <c r="C89" s="42"/>
      <c r="D89" s="42"/>
      <c r="E89" s="42"/>
      <c r="F89" s="42"/>
      <c r="G89" s="42"/>
      <c r="H89" s="42"/>
      <c r="I89" s="42"/>
      <c r="J89" s="42"/>
      <c r="K89" s="42"/>
      <c r="L89" s="42"/>
      <c r="M89" s="42"/>
      <c r="N89" s="42"/>
      <c r="O89" s="42"/>
      <c r="P89" s="42"/>
      <c r="Q89" s="42"/>
      <c r="R89" s="42"/>
      <c r="S89" s="34"/>
      <c r="T89" s="187" t="str">
        <f>IF(ISBLANK(AgeParts),"___________________",AgeParts)</f>
        <v>___________________</v>
      </c>
      <c r="U89" s="1" t="s">
        <v>3</v>
      </c>
      <c r="V89" s="119"/>
      <c r="W89" s="128"/>
    </row>
    <row r="90" spans="1:23" s="1" customFormat="1" ht="14.1">
      <c r="A90" s="127"/>
      <c r="B90" s="33"/>
      <c r="C90" s="42"/>
      <c r="D90" s="42"/>
      <c r="E90" s="42"/>
      <c r="F90" s="42"/>
      <c r="G90" s="42"/>
      <c r="H90" s="42"/>
      <c r="I90" s="42"/>
      <c r="J90" s="42"/>
      <c r="K90" s="42"/>
      <c r="L90" s="42"/>
      <c r="M90" s="42"/>
      <c r="N90" s="42"/>
      <c r="O90" s="42"/>
      <c r="P90" s="42"/>
      <c r="Q90" s="42"/>
      <c r="R90" s="42"/>
      <c r="S90" s="34"/>
      <c r="T90" s="187"/>
      <c r="V90" s="119"/>
      <c r="W90" s="128"/>
    </row>
    <row r="91" spans="1:23" ht="21.9">
      <c r="A91" s="142" t="str">
        <f>'Industrial Truck DSC'!A131</f>
        <v>11.</v>
      </c>
      <c r="B91" s="143" t="str">
        <f>'Industrial Truck DSC'!B131</f>
        <v>Balance Sheet</v>
      </c>
      <c r="C91" s="144"/>
      <c r="D91" s="144"/>
      <c r="E91" s="144"/>
      <c r="F91" s="144"/>
      <c r="G91" s="144"/>
      <c r="H91" s="144"/>
      <c r="I91" s="144"/>
      <c r="J91" s="144"/>
      <c r="K91" s="144"/>
      <c r="L91" s="144"/>
      <c r="M91" s="144"/>
      <c r="N91" s="144"/>
      <c r="O91" s="144"/>
      <c r="P91" s="144"/>
      <c r="Q91" s="144"/>
      <c r="R91" s="144"/>
      <c r="S91" s="144"/>
      <c r="T91" s="144"/>
      <c r="U91" s="144"/>
      <c r="V91" s="145"/>
      <c r="W91" s="124"/>
    </row>
    <row r="92" spans="1:23" ht="15" customHeight="1">
      <c r="A92" s="127"/>
      <c r="B92" s="131" t="str">
        <f>'Industrial Truck DSC'!B132</f>
        <v>Assets</v>
      </c>
      <c r="C92" s="33"/>
      <c r="D92" s="33"/>
      <c r="E92" s="33"/>
      <c r="F92" s="33"/>
      <c r="G92" s="33"/>
      <c r="H92" s="33"/>
      <c r="I92" s="33"/>
      <c r="J92" s="33"/>
      <c r="K92" s="33"/>
      <c r="L92" s="33"/>
      <c r="M92" s="33"/>
      <c r="N92" s="33"/>
      <c r="O92" s="33"/>
      <c r="P92" s="33"/>
      <c r="Q92" s="33"/>
      <c r="R92" s="33"/>
      <c r="S92" s="33"/>
      <c r="T92" s="33"/>
      <c r="U92" s="33"/>
      <c r="V92" s="15"/>
      <c r="W92" s="124"/>
    </row>
    <row r="93" spans="1:23" ht="15" customHeight="1">
      <c r="A93" s="127"/>
      <c r="B93" s="37" t="str">
        <f>'Industrial Truck DSC'!B133</f>
        <v>Current Assets</v>
      </c>
      <c r="C93" s="33"/>
      <c r="D93" s="33"/>
      <c r="E93" s="33"/>
      <c r="F93" s="33"/>
      <c r="G93" s="33"/>
      <c r="H93" s="33"/>
      <c r="I93" s="33"/>
      <c r="J93" s="33"/>
      <c r="K93" s="33"/>
      <c r="L93" s="33"/>
      <c r="M93" s="33"/>
      <c r="N93" s="33"/>
      <c r="O93" s="33"/>
      <c r="P93" s="33"/>
      <c r="Q93" s="33"/>
      <c r="R93" s="33"/>
      <c r="S93" s="33"/>
      <c r="T93" s="33"/>
      <c r="U93" s="33"/>
      <c r="V93" s="15"/>
      <c r="W93" s="124"/>
    </row>
    <row r="94" spans="1:23" ht="15" customHeight="1">
      <c r="A94" s="127"/>
      <c r="B94" s="33" t="str">
        <f>'Industrial Truck DSC'!B134</f>
        <v>Cash &amp; Marketable Securities</v>
      </c>
      <c r="C94" s="33"/>
      <c r="D94" s="33"/>
      <c r="E94" s="33"/>
      <c r="F94" s="33"/>
      <c r="G94" s="33"/>
      <c r="H94" s="33"/>
      <c r="I94" s="33"/>
      <c r="J94" s="33"/>
      <c r="K94" s="33"/>
      <c r="L94" s="33"/>
      <c r="M94" s="33"/>
      <c r="N94" s="33"/>
      <c r="O94" s="33"/>
      <c r="P94" s="33"/>
      <c r="Q94" s="33"/>
      <c r="R94" s="33"/>
      <c r="S94" s="45" t="str">
        <f>IF(ISBLANK('Industrial Truck DSC'!S134),"__________________",'Industrial Truck DSC'!S134)</f>
        <v>$</v>
      </c>
      <c r="T94" s="130" t="str">
        <f>IF(ISBLANK(Cash),"____________________",Cash)</f>
        <v>____________________</v>
      </c>
      <c r="U94" s="34"/>
      <c r="V94" s="119"/>
      <c r="W94" s="122"/>
    </row>
    <row r="95" spans="1:23" ht="15" customHeight="1">
      <c r="A95" s="127"/>
      <c r="B95" s="33" t="str">
        <f>'Industrial Truck DSC'!B135</f>
        <v>Accounts Receivable</v>
      </c>
      <c r="C95" s="33"/>
      <c r="D95" s="33"/>
      <c r="E95" s="33"/>
      <c r="F95" s="33"/>
      <c r="G95" s="33"/>
      <c r="H95" s="33"/>
      <c r="J95" s="188" t="str">
        <f>'Industrial Truck DSC'!I135</f>
        <v>— trade receivables, less allowance for bad debts</v>
      </c>
      <c r="K95" s="33"/>
      <c r="L95" s="33"/>
      <c r="M95" s="33"/>
      <c r="O95" s="33"/>
      <c r="P95" s="33"/>
      <c r="Q95" s="33"/>
      <c r="R95" s="33"/>
      <c r="S95" s="46"/>
      <c r="T95" s="130" t="str">
        <f>IF(ISBLANK(AR),"____________________",AR)</f>
        <v>____________________</v>
      </c>
      <c r="U95" s="33"/>
      <c r="V95" s="119"/>
      <c r="W95" s="122"/>
    </row>
    <row r="96" spans="1:23" ht="15" customHeight="1">
      <c r="A96" s="127"/>
      <c r="B96" s="189" t="str">
        <f>'Industrial Truck DSC'!B136</f>
        <v>Inventory</v>
      </c>
      <c r="E96" s="38"/>
      <c r="F96" s="39"/>
      <c r="G96" s="38"/>
      <c r="H96" s="38"/>
      <c r="I96" s="38"/>
      <c r="J96" s="38"/>
      <c r="K96" s="38"/>
      <c r="L96" s="38"/>
      <c r="M96" s="38"/>
      <c r="N96" s="33"/>
      <c r="O96" s="33"/>
      <c r="P96" s="33"/>
      <c r="Q96" s="33"/>
      <c r="R96" s="33"/>
      <c r="S96" s="46"/>
      <c r="T96" s="130"/>
      <c r="U96" s="33"/>
      <c r="W96" s="122"/>
    </row>
    <row r="97" spans="1:23" ht="15" customHeight="1">
      <c r="A97" s="127"/>
      <c r="B97" s="33"/>
      <c r="C97" s="33" t="str">
        <f>'Industrial Truck DSC'!C137</f>
        <v>New Power Equipment Inventory</v>
      </c>
      <c r="E97" s="38"/>
      <c r="F97" s="39"/>
      <c r="G97" s="38"/>
      <c r="H97" s="38"/>
      <c r="I97" s="38"/>
      <c r="J97" s="38"/>
      <c r="K97" s="38"/>
      <c r="L97" s="38"/>
      <c r="M97" s="38"/>
      <c r="N97" s="33"/>
      <c r="O97" s="33"/>
      <c r="P97" s="33"/>
      <c r="Q97" s="33"/>
      <c r="R97" s="33"/>
      <c r="S97" s="46"/>
      <c r="T97" s="130" t="str">
        <f>IF(ISBLANK(NEWINV),"____________________",NEWINV)</f>
        <v>____________________</v>
      </c>
      <c r="U97" s="33"/>
      <c r="W97" s="122"/>
    </row>
    <row r="98" spans="1:23" ht="15" customHeight="1">
      <c r="A98" s="127"/>
      <c r="B98" s="33"/>
      <c r="C98" s="33" t="str">
        <f>'Industrial Truck DSC'!C138</f>
        <v>Used Power Equipment Inventory</v>
      </c>
      <c r="E98" s="38"/>
      <c r="F98" s="39"/>
      <c r="G98" s="38"/>
      <c r="H98" s="38"/>
      <c r="I98" s="38"/>
      <c r="J98" s="38"/>
      <c r="K98" s="38"/>
      <c r="L98" s="38"/>
      <c r="M98" s="38"/>
      <c r="N98" s="33"/>
      <c r="O98" s="33"/>
      <c r="P98" s="33"/>
      <c r="Q98" s="33"/>
      <c r="R98" s="33"/>
      <c r="S98" s="46"/>
      <c r="T98" s="130" t="str">
        <f>IF(ISBLANK(USEDINV),"____________________",USEDINV)</f>
        <v>____________________</v>
      </c>
      <c r="U98" s="33"/>
      <c r="W98" s="122"/>
    </row>
    <row r="99" spans="1:23" ht="15" customHeight="1">
      <c r="A99" s="127"/>
      <c r="B99" s="33"/>
      <c r="C99" s="33" t="str">
        <f>'Industrial Truck DSC'!C139</f>
        <v>Parts Inventory</v>
      </c>
      <c r="E99" s="38"/>
      <c r="F99" s="39"/>
      <c r="G99" s="38"/>
      <c r="H99" s="38"/>
      <c r="I99" s="38"/>
      <c r="J99" s="38"/>
      <c r="K99" s="38"/>
      <c r="L99" s="38"/>
      <c r="M99" s="38"/>
      <c r="N99" s="33"/>
      <c r="O99" s="33"/>
      <c r="P99" s="33"/>
      <c r="Q99" s="33"/>
      <c r="R99" s="33"/>
      <c r="S99" s="46"/>
      <c r="T99" s="130" t="str">
        <f>IF(ISBLANK(PARTSINV),"____________________",PARTSINV)</f>
        <v>____________________</v>
      </c>
      <c r="U99" s="33"/>
      <c r="W99" s="122"/>
    </row>
    <row r="100" spans="1:23" ht="15" customHeight="1">
      <c r="A100" s="127"/>
      <c r="B100" s="33"/>
      <c r="C100" s="33" t="str">
        <f>'Industrial Truck DSC'!C140</f>
        <v>All Other Inventory</v>
      </c>
      <c r="D100" s="33"/>
      <c r="E100" s="38"/>
      <c r="F100" s="39"/>
      <c r="G100" s="38"/>
      <c r="H100" s="38"/>
      <c r="I100" s="38"/>
      <c r="J100" s="38"/>
      <c r="K100" s="38"/>
      <c r="L100" s="38"/>
      <c r="M100" s="38"/>
      <c r="N100" s="33"/>
      <c r="O100" s="33"/>
      <c r="P100" s="33"/>
      <c r="Q100" s="33"/>
      <c r="R100" s="33"/>
      <c r="S100" s="46"/>
      <c r="T100" s="136" t="str">
        <f>IF(ISBLANK(OINV),"____________________",OINV)</f>
        <v>____________________</v>
      </c>
      <c r="U100" s="33"/>
      <c r="W100" s="122"/>
    </row>
    <row r="101" spans="1:23" ht="15" customHeight="1">
      <c r="A101" s="127"/>
      <c r="B101" s="33"/>
      <c r="C101" s="33"/>
      <c r="D101" s="37" t="str">
        <f>'Industrial Truck DSC'!D141</f>
        <v>Total Inventory</v>
      </c>
      <c r="E101" s="38"/>
      <c r="F101" s="39"/>
      <c r="G101" s="38"/>
      <c r="H101" s="38"/>
      <c r="I101" s="38"/>
      <c r="J101" s="38"/>
      <c r="K101" s="38"/>
      <c r="L101" s="38"/>
      <c r="M101" s="38"/>
      <c r="N101" s="33"/>
      <c r="O101" s="33"/>
      <c r="P101" s="33"/>
      <c r="Q101" s="33"/>
      <c r="R101" s="33"/>
      <c r="S101" s="46"/>
      <c r="T101" s="130" t="str">
        <f>IF(Inv&gt;0,Inv,"____________________")</f>
        <v>____________________</v>
      </c>
      <c r="U101" s="33"/>
      <c r="W101" s="122"/>
    </row>
    <row r="102" spans="1:23" ht="15" customHeight="1">
      <c r="A102" s="127"/>
      <c r="B102" s="33" t="str">
        <f>'Industrial Truck DSC'!B142</f>
        <v>Other Current Assets</v>
      </c>
      <c r="C102" s="33"/>
      <c r="D102" s="33"/>
      <c r="E102" s="33"/>
      <c r="F102" s="33"/>
      <c r="G102" s="33"/>
      <c r="H102" s="33"/>
      <c r="I102" s="33"/>
      <c r="J102" s="33"/>
      <c r="K102" s="33"/>
      <c r="L102" s="33"/>
      <c r="M102" s="33"/>
      <c r="N102" s="33"/>
      <c r="O102" s="33"/>
      <c r="P102" s="33"/>
      <c r="Q102" s="33"/>
      <c r="R102" s="33"/>
      <c r="S102" s="46"/>
      <c r="T102" s="130" t="str">
        <f>IF(ISBLANK(Oca),"____________________",Oca)</f>
        <v>____________________</v>
      </c>
      <c r="U102" s="33"/>
      <c r="V102" s="132"/>
      <c r="W102" s="122"/>
    </row>
    <row r="103" spans="1:23" s="1" customFormat="1" ht="15" customHeight="1">
      <c r="A103" s="127"/>
      <c r="C103" s="37" t="str">
        <f>'Industrial Truck DSC'!C143</f>
        <v>Total Current Assets</v>
      </c>
      <c r="D103" s="37"/>
      <c r="E103" s="37"/>
      <c r="F103" s="37"/>
      <c r="G103" s="37"/>
      <c r="H103" s="37"/>
      <c r="I103" s="37"/>
      <c r="J103" s="37"/>
      <c r="K103" s="37"/>
      <c r="L103" s="37"/>
      <c r="M103" s="37"/>
      <c r="N103" s="37"/>
      <c r="O103" s="37"/>
      <c r="P103" s="37"/>
      <c r="Q103" s="37"/>
      <c r="R103" s="37"/>
      <c r="S103" s="47" t="str">
        <f>IF(ISBLANK('Industrial Truck DSC'!S143),"__________________",'Industrial Truck DSC'!S143)</f>
        <v>$</v>
      </c>
      <c r="T103" s="133" t="str">
        <f>IF((CA&gt;0),CA,"____________________")</f>
        <v>____________________</v>
      </c>
      <c r="U103" s="134"/>
      <c r="V103" s="135"/>
      <c r="W103" s="128"/>
    </row>
    <row r="104" spans="1:23" s="1" customFormat="1" ht="15" customHeight="1">
      <c r="A104" s="127"/>
      <c r="B104" s="33" t="str">
        <f>'Industrial Truck DSC'!B144</f>
        <v xml:space="preserve">Rental Fleet </v>
      </c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37"/>
      <c r="P104" s="37"/>
      <c r="Q104" s="37"/>
      <c r="R104" s="37"/>
      <c r="S104" s="47"/>
      <c r="T104" s="130" t="str">
        <f>IF((Fixed&lt;&gt;0),Fixed,"____________________")</f>
        <v>____________________</v>
      </c>
      <c r="U104" s="134"/>
      <c r="V104" s="135"/>
      <c r="W104" s="128"/>
    </row>
    <row r="105" spans="1:23" ht="15" customHeight="1">
      <c r="A105" s="127"/>
      <c r="B105" s="33" t="str">
        <f>'Industrial Truck DSC'!B145</f>
        <v>Other Fixed Assets &amp; Noncurrent Assets</v>
      </c>
      <c r="C105" s="33"/>
      <c r="D105" s="33"/>
      <c r="E105" s="33"/>
      <c r="F105" s="33"/>
      <c r="G105" s="33"/>
      <c r="H105" s="33"/>
      <c r="I105" s="33"/>
      <c r="K105" s="39"/>
      <c r="L105" s="33"/>
      <c r="M105" s="33"/>
      <c r="O105" s="33"/>
      <c r="P105" s="33"/>
      <c r="Q105" s="33"/>
      <c r="R105" s="33"/>
      <c r="S105" s="46"/>
      <c r="T105" s="130" t="str">
        <f>IF(ISBLANK(OFA),"____________________",OFA)</f>
        <v>____________________</v>
      </c>
      <c r="U105" s="33"/>
      <c r="V105" s="132"/>
      <c r="W105" s="122"/>
    </row>
    <row r="106" spans="1:23" s="1" customFormat="1" ht="15" customHeight="1">
      <c r="A106" s="127"/>
      <c r="C106" s="37" t="str">
        <f>'Industrial Truck DSC'!C146</f>
        <v>Total Assets</v>
      </c>
      <c r="H106" s="188" t="str">
        <f>'Industrial Truck DSC'!H146</f>
        <v>= Total Current Assets + Rental Fleet + Fixed Assets &amp; Noncurrent Assets</v>
      </c>
      <c r="O106" s="37"/>
      <c r="P106" s="37"/>
      <c r="Q106" s="37"/>
      <c r="R106" s="37"/>
      <c r="S106" s="47" t="str">
        <f>IF(ISBLANK('Industrial Truck DSC'!S146),"__________________",'Industrial Truck DSC'!S146)</f>
        <v>$</v>
      </c>
      <c r="T106" s="133" t="str">
        <f>IF((TA&gt;0),TA,"____________________")</f>
        <v>____________________</v>
      </c>
      <c r="U106" s="134"/>
      <c r="V106" s="135"/>
      <c r="W106" s="128"/>
    </row>
    <row r="107" spans="1:23" ht="15" customHeight="1">
      <c r="A107" s="127"/>
      <c r="B107" s="131" t="str">
        <f>'Industrial Truck DSC'!B147</f>
        <v>Liabilities and Net Worth</v>
      </c>
      <c r="C107" s="33"/>
      <c r="D107" s="33"/>
      <c r="E107" s="33"/>
      <c r="F107" s="33"/>
      <c r="G107" s="33"/>
      <c r="H107" s="33"/>
      <c r="I107" s="33"/>
      <c r="J107" s="33"/>
      <c r="K107" s="33"/>
      <c r="L107" s="33"/>
      <c r="M107" s="33"/>
      <c r="N107" s="33"/>
      <c r="O107" s="33"/>
      <c r="P107" s="33"/>
      <c r="Q107" s="33"/>
      <c r="R107" s="33"/>
      <c r="S107" s="46"/>
      <c r="T107" s="46"/>
      <c r="U107" s="33"/>
      <c r="V107" s="4"/>
      <c r="W107" s="124"/>
    </row>
    <row r="108" spans="1:23" ht="15" customHeight="1">
      <c r="A108" s="127"/>
      <c r="B108" s="37" t="str">
        <f>'Industrial Truck DSC'!B148</f>
        <v>Current Liabilities</v>
      </c>
      <c r="C108" s="33"/>
      <c r="D108" s="33"/>
      <c r="E108" s="33"/>
      <c r="F108" s="33"/>
      <c r="G108" s="33"/>
      <c r="H108" s="33"/>
      <c r="I108" s="33"/>
      <c r="J108" s="33"/>
      <c r="K108" s="33"/>
      <c r="L108" s="33"/>
      <c r="M108" s="33"/>
      <c r="N108" s="33"/>
      <c r="O108" s="33"/>
      <c r="P108" s="33"/>
      <c r="Q108" s="33"/>
      <c r="R108" s="33"/>
      <c r="S108" s="46"/>
      <c r="T108" s="46"/>
      <c r="U108" s="33"/>
      <c r="V108" s="4"/>
      <c r="W108" s="124"/>
    </row>
    <row r="109" spans="1:23" ht="15" customHeight="1">
      <c r="A109" s="127"/>
      <c r="B109" s="33" t="str">
        <f>'Industrial Truck DSC'!B149</f>
        <v>Accounts Payable</v>
      </c>
      <c r="C109" s="33"/>
      <c r="D109" s="33"/>
      <c r="E109" s="33"/>
      <c r="F109" s="33"/>
      <c r="G109" s="33"/>
      <c r="I109" s="188" t="str">
        <f>'Industrial Truck DSC'!H149</f>
        <v>— trade</v>
      </c>
      <c r="J109" s="33"/>
      <c r="K109" s="33"/>
      <c r="L109" s="33"/>
      <c r="M109" s="33"/>
      <c r="N109" s="33"/>
      <c r="O109" s="33"/>
      <c r="P109" s="33"/>
      <c r="Q109" s="33"/>
      <c r="R109" s="33"/>
      <c r="S109" s="45" t="str">
        <f>IF(ISBLANK('Industrial Truck DSC'!S149),"__________________",'Industrial Truck DSC'!S149)</f>
        <v>$</v>
      </c>
      <c r="T109" s="130" t="str">
        <f>IF(ISBLANK(AP),"____________________",AP)</f>
        <v>____________________</v>
      </c>
      <c r="U109" s="34"/>
      <c r="V109" s="119"/>
      <c r="W109" s="124"/>
    </row>
    <row r="110" spans="1:23" ht="15" customHeight="1">
      <c r="A110" s="127"/>
      <c r="B110" s="33" t="str">
        <f>'Industrial Truck DSC'!B150</f>
        <v xml:space="preserve">Notes Payable, Line of Credit, Current Portion of Long-term Debt </v>
      </c>
      <c r="C110" s="33"/>
      <c r="D110" s="33"/>
      <c r="E110" s="33"/>
      <c r="F110" s="33"/>
      <c r="H110" s="39"/>
      <c r="I110" s="33"/>
      <c r="J110" s="33"/>
      <c r="K110" s="33"/>
      <c r="L110" s="33"/>
      <c r="M110" s="33"/>
      <c r="N110" s="33"/>
      <c r="O110" s="33"/>
      <c r="P110" s="33"/>
      <c r="Q110" s="33"/>
      <c r="R110" s="33"/>
      <c r="S110" s="46"/>
      <c r="T110" s="130" t="str">
        <f>IF(ISBLANK(NP),"____________________",NP)</f>
        <v>____________________</v>
      </c>
      <c r="U110" s="33"/>
      <c r="V110" s="119"/>
      <c r="W110" s="124"/>
    </row>
    <row r="111" spans="1:23" ht="15" customHeight="1">
      <c r="A111" s="127"/>
      <c r="B111" s="33" t="str">
        <f>'Industrial Truck DSC'!B151</f>
        <v>Other Current Liabilities</v>
      </c>
      <c r="C111" s="33"/>
      <c r="D111" s="33"/>
      <c r="E111" s="33"/>
      <c r="F111" s="33"/>
      <c r="G111" s="33"/>
      <c r="H111" s="33"/>
      <c r="I111" s="33"/>
      <c r="K111" s="188" t="str">
        <f>'Industrial Truck DSC'!J151</f>
        <v>— including accruals, taxes, benefits, etc.</v>
      </c>
      <c r="L111" s="33"/>
      <c r="M111" s="33"/>
      <c r="N111" s="33"/>
      <c r="O111" s="33"/>
      <c r="P111" s="33"/>
      <c r="Q111" s="33"/>
      <c r="R111" s="33"/>
      <c r="S111" s="46"/>
      <c r="T111" s="136" t="str">
        <f>IF(ISBLANK(Ocl),"____________________",Ocl)</f>
        <v>____________________</v>
      </c>
      <c r="U111" s="33"/>
      <c r="V111" s="132"/>
      <c r="W111" s="124"/>
    </row>
    <row r="112" spans="1:23" s="1" customFormat="1" ht="15" customHeight="1">
      <c r="A112" s="127"/>
      <c r="C112" s="37" t="str">
        <f>'Industrial Truck DSC'!C152</f>
        <v>Total Current Liabilities</v>
      </c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37"/>
      <c r="P112" s="37"/>
      <c r="Q112" s="37"/>
      <c r="R112" s="37"/>
      <c r="S112" s="47" t="str">
        <f>IF(ISBLANK('Industrial Truck DSC'!S152),"__________________",'Industrial Truck DSC'!S152)</f>
        <v>$</v>
      </c>
      <c r="T112" s="133" t="str">
        <f>IF((CL&gt;0),CL,"____________________")</f>
        <v>____________________</v>
      </c>
      <c r="U112" s="134"/>
      <c r="V112" s="135"/>
      <c r="W112" s="128"/>
    </row>
    <row r="113" spans="1:23" ht="15" customHeight="1">
      <c r="A113" s="127"/>
      <c r="B113" s="33" t="str">
        <f>'Industrial Truck DSC'!B153</f>
        <v>Long Term Liabilities</v>
      </c>
      <c r="C113" s="33"/>
      <c r="D113" s="33"/>
      <c r="E113" s="33"/>
      <c r="F113" s="33"/>
      <c r="G113" s="33"/>
      <c r="H113" s="33"/>
      <c r="J113" s="188" t="str">
        <f>'Industrial Truck DSC'!I153</f>
        <v>— not due within one year</v>
      </c>
      <c r="K113" s="33"/>
      <c r="L113" s="33"/>
      <c r="M113" s="33"/>
      <c r="N113" s="33"/>
      <c r="O113" s="33"/>
      <c r="P113" s="33"/>
      <c r="Q113" s="33"/>
      <c r="R113" s="33"/>
      <c r="S113" s="46"/>
      <c r="T113" s="130" t="str">
        <f>IF(ISBLANK(LTL),"____________________",LTL)</f>
        <v>____________________</v>
      </c>
      <c r="U113" s="33"/>
      <c r="V113" s="119"/>
      <c r="W113" s="124"/>
    </row>
    <row r="114" spans="1:23" ht="15" customHeight="1">
      <c r="A114" s="127"/>
      <c r="B114" s="33" t="str">
        <f>'Industrial Truck DSC'!B154</f>
        <v>Loans from Stockholders</v>
      </c>
      <c r="C114" s="33"/>
      <c r="D114" s="33"/>
      <c r="E114" s="33"/>
      <c r="F114" s="33"/>
      <c r="G114" s="33"/>
      <c r="H114" s="33"/>
      <c r="I114" s="33"/>
      <c r="J114" s="33"/>
      <c r="K114" s="33"/>
      <c r="L114" s="33"/>
      <c r="M114" s="33"/>
      <c r="N114" s="33"/>
      <c r="O114" s="33"/>
      <c r="P114" s="33"/>
      <c r="Q114" s="33"/>
      <c r="R114" s="33"/>
      <c r="S114" s="46"/>
      <c r="T114" s="130" t="str">
        <f>IF(ISBLANK(Loan),"____________________",Loan)</f>
        <v>____________________</v>
      </c>
      <c r="U114" s="33"/>
      <c r="V114" s="119"/>
      <c r="W114" s="124"/>
    </row>
    <row r="115" spans="1:23" ht="15" customHeight="1">
      <c r="A115" s="127"/>
      <c r="B115" s="33" t="str">
        <f>'Industrial Truck DSC'!B155</f>
        <v>Net Worth or Owner Equity</v>
      </c>
      <c r="C115" s="33"/>
      <c r="D115" s="33"/>
      <c r="E115" s="33"/>
      <c r="F115" s="33"/>
      <c r="G115" s="33"/>
      <c r="H115" s="33"/>
      <c r="I115" s="33"/>
      <c r="J115" s="33"/>
      <c r="L115" s="188" t="str">
        <f>'Industrial Truck DSC'!K155</f>
        <v>— paid-in capital &amp; retained earnings</v>
      </c>
      <c r="M115" s="33"/>
      <c r="N115" s="33"/>
      <c r="O115" s="33"/>
      <c r="P115" s="33"/>
      <c r="Q115" s="33"/>
      <c r="R115" s="33"/>
      <c r="S115" s="46"/>
      <c r="T115" s="136" t="str">
        <f>IF((Eqty&lt;&gt;0),Eqty,"____________________")</f>
        <v>____________________</v>
      </c>
      <c r="U115" s="33"/>
      <c r="V115" s="132"/>
      <c r="W115" s="124"/>
    </row>
    <row r="116" spans="1:23" s="1" customFormat="1" ht="15" customHeight="1">
      <c r="A116" s="127"/>
      <c r="C116" s="37" t="str">
        <f>'Industrial Truck DSC'!C156</f>
        <v>Total Liabilities and Net Worth</v>
      </c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37"/>
      <c r="P116" s="37"/>
      <c r="Q116" s="37"/>
      <c r="R116" s="37"/>
      <c r="S116" s="47" t="str">
        <f>IF(ISBLANK('Industrial Truck DSC'!S156),"__________________",'Industrial Truck DSC'!S156)</f>
        <v>$</v>
      </c>
      <c r="T116" s="133" t="str">
        <f>IF((Liab&gt;0),Liab,"____________________")</f>
        <v>____________________</v>
      </c>
      <c r="U116" s="134"/>
      <c r="V116" s="135"/>
      <c r="W116" s="128"/>
    </row>
    <row r="117" spans="1:23" s="1" customFormat="1" ht="15" customHeight="1">
      <c r="A117" s="156" t="str">
        <f>'Industrial Truck DSC'!A53</f>
        <v>4.</v>
      </c>
      <c r="B117" s="157" t="str">
        <f>'Industrial Truck DSC'!B53</f>
        <v>Previous fiscal year Net Sales</v>
      </c>
      <c r="C117" s="158"/>
      <c r="D117" s="15"/>
      <c r="E117" s="15"/>
      <c r="F117" s="15"/>
      <c r="G117" s="15"/>
      <c r="H117" s="15"/>
      <c r="I117" s="15"/>
      <c r="J117" s="15"/>
      <c r="K117" s="15"/>
      <c r="L117" s="15"/>
      <c r="M117" s="520">
        <f>Print!L8-2</f>
        <v>2023</v>
      </c>
      <c r="N117" s="520"/>
      <c r="O117" s="520"/>
      <c r="P117" s="33"/>
      <c r="Q117" s="129"/>
      <c r="R117" s="129"/>
      <c r="S117" s="35" t="str">
        <f>IF(ISBLANK('Industrial Truck DSC'!S53),"__________",'Industrial Truck DSC'!S53)</f>
        <v>$</v>
      </c>
      <c r="T117" s="130" t="str">
        <f>IF(ISBLANK(Prev),"____________________",Prev)</f>
        <v>____________________</v>
      </c>
      <c r="U117" s="134"/>
      <c r="V117" s="135"/>
      <c r="W117" s="128"/>
    </row>
    <row r="118" spans="1:23" s="146" customFormat="1" ht="20.100000000000001" customHeight="1">
      <c r="A118" s="191" t="str">
        <f>'Industrial Truck DSC'!A55</f>
        <v>5.</v>
      </c>
      <c r="B118" s="143" t="e">
        <f>'Industrial Truck DSC'!#REF!</f>
        <v>#REF!</v>
      </c>
      <c r="N118" s="144" t="s">
        <v>145</v>
      </c>
      <c r="S118" s="147"/>
      <c r="T118" s="147"/>
      <c r="W118" s="148"/>
    </row>
    <row r="119" spans="1:23" s="1" customFormat="1" ht="18" customHeight="1">
      <c r="A119" s="42"/>
      <c r="B119" s="37" t="str">
        <f>'Industrial Truck DSC'!B57</f>
        <v>Net Sales</v>
      </c>
      <c r="E119" s="41"/>
      <c r="F119" s="188" t="str">
        <f>'Industrial Truck DSC'!F57</f>
        <v>— Gross Sales less returns, cash discounts, allowances &amp; sales taxes</v>
      </c>
      <c r="G119" s="41"/>
      <c r="H119" s="41"/>
      <c r="I119" s="41"/>
      <c r="J119" s="41"/>
      <c r="K119" s="41"/>
      <c r="L119" s="41"/>
      <c r="M119" s="41"/>
      <c r="N119" s="37"/>
      <c r="O119" s="37"/>
      <c r="P119" s="37"/>
      <c r="Q119" s="37"/>
      <c r="R119" s="37"/>
      <c r="S119" s="47" t="str">
        <f>IF(ISBLANK('Industrial Truck DSC'!S57),"__________",'Industrial Truck DSC'!S57)</f>
        <v>$</v>
      </c>
      <c r="T119" s="133" t="str">
        <f>IF(ISBLANK(NS),"____________________",NS)</f>
        <v>____________________</v>
      </c>
      <c r="V119" s="135"/>
      <c r="W119" s="128"/>
    </row>
    <row r="120" spans="1:23" ht="14.1" customHeight="1">
      <c r="A120" s="15"/>
      <c r="C120" s="33" t="str">
        <f>'Industrial Truck DSC'!C58</f>
        <v>Cost of Goods Sold</v>
      </c>
      <c r="D120" s="38"/>
      <c r="E120" s="38"/>
      <c r="F120" s="38"/>
      <c r="G120" s="38"/>
      <c r="H120" s="38"/>
      <c r="I120" s="38"/>
      <c r="J120" s="38"/>
      <c r="K120" s="38"/>
      <c r="L120" s="38"/>
      <c r="M120" s="38"/>
      <c r="O120" s="38"/>
      <c r="P120" s="38"/>
      <c r="Q120" s="38"/>
      <c r="R120" s="38"/>
      <c r="S120" s="47" t="str">
        <f>IF(ISBLANK('Industrial Truck DSC'!S58),"__________",'Industrial Truck DSC'!S58)</f>
        <v>$</v>
      </c>
      <c r="T120" s="133" t="str">
        <f>IF((COGS&lt;&gt;0),COGS,"____________________")</f>
        <v>____________________</v>
      </c>
      <c r="V120" s="135"/>
      <c r="W120" s="124"/>
    </row>
    <row r="121" spans="1:23" ht="15" customHeight="1">
      <c r="A121" s="15"/>
      <c r="B121" s="37" t="str">
        <f>'Industrial Truck DSC'!B59</f>
        <v>Gross Profit</v>
      </c>
      <c r="C121" s="15"/>
      <c r="D121" s="38"/>
      <c r="E121" s="38"/>
      <c r="F121" s="38"/>
      <c r="G121" s="38"/>
      <c r="H121" s="38"/>
      <c r="I121" s="38"/>
      <c r="J121" s="188" t="str">
        <f>'Industrial Truck DSC'!G59</f>
        <v>= Net Sales - Total Cost Of Goods Sold</v>
      </c>
      <c r="K121" s="38"/>
      <c r="L121" s="38"/>
      <c r="M121" s="38"/>
      <c r="O121" s="38"/>
      <c r="P121" s="38"/>
      <c r="Q121" s="38"/>
      <c r="R121" s="38"/>
      <c r="S121" s="47" t="str">
        <f>IF(ISBLANK('Industrial Truck DSC'!S59),"__________",'Industrial Truck DSC'!S59)</f>
        <v>$</v>
      </c>
      <c r="T121" s="133" t="str">
        <f>IF((GP&lt;&gt;0),GP,"____________________")</f>
        <v>____________________</v>
      </c>
      <c r="V121" s="135"/>
      <c r="W121" s="124"/>
    </row>
    <row r="122" spans="1:23" s="4" customFormat="1" ht="15" customHeight="1">
      <c r="A122" s="15"/>
      <c r="B122" s="192" t="str">
        <f>'Industrial Truck DSC'!B60</f>
        <v>Operating Expenses</v>
      </c>
      <c r="C122" s="193"/>
      <c r="D122" s="193"/>
      <c r="E122" s="193"/>
      <c r="F122" s="193"/>
      <c r="G122" s="193"/>
      <c r="H122" s="193"/>
      <c r="I122" s="193"/>
      <c r="J122" s="193"/>
      <c r="K122" s="193"/>
      <c r="L122" s="193"/>
      <c r="M122" s="193"/>
      <c r="N122" s="194"/>
      <c r="O122" s="194"/>
      <c r="P122" s="194"/>
      <c r="Q122" s="194"/>
      <c r="R122" s="194"/>
      <c r="S122" s="147"/>
      <c r="T122" s="147"/>
      <c r="U122" s="40"/>
      <c r="V122" s="119"/>
      <c r="W122" s="124"/>
    </row>
    <row r="123" spans="1:23" s="4" customFormat="1" ht="15" customHeight="1">
      <c r="A123" s="15"/>
      <c r="B123" s="37" t="str">
        <f>'Industrial Truck DSC'!B61</f>
        <v>Payroll Expenses</v>
      </c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38"/>
      <c r="O123" s="38"/>
      <c r="P123" s="38"/>
      <c r="Q123" s="38"/>
      <c r="R123" s="38"/>
      <c r="S123" s="48"/>
      <c r="T123" s="48"/>
      <c r="U123" s="40"/>
      <c r="V123" s="119"/>
      <c r="W123" s="124"/>
    </row>
    <row r="124" spans="1:23" ht="14.1" customHeight="1">
      <c r="B124" s="40" t="str">
        <f>'Industrial Truck DSC'!B62</f>
        <v>Salaries, Wages, Commissions &amp; Bonuses</v>
      </c>
      <c r="D124" s="41"/>
      <c r="E124" s="41"/>
      <c r="F124" s="41"/>
      <c r="H124" s="41"/>
      <c r="I124" s="39"/>
      <c r="J124" s="41"/>
      <c r="K124" s="41"/>
      <c r="L124" s="41"/>
      <c r="M124" s="41"/>
      <c r="S124" s="48"/>
      <c r="T124" s="47" t="str">
        <f>IF((SAL&lt;&gt;0),SAL,"____________________")</f>
        <v>____________________</v>
      </c>
      <c r="V124" s="132"/>
    </row>
    <row r="125" spans="1:23" ht="14.1" customHeight="1">
      <c r="B125" s="40" t="str">
        <f>'Industrial Truck DSC'!B63</f>
        <v>Payroll Taxes</v>
      </c>
      <c r="C125" s="40"/>
      <c r="D125" s="41"/>
      <c r="E125" s="41"/>
      <c r="F125" s="41"/>
      <c r="H125" s="41"/>
      <c r="I125" s="39"/>
      <c r="J125" s="41"/>
      <c r="K125" s="41"/>
      <c r="L125" s="41"/>
      <c r="M125" s="41"/>
      <c r="S125" s="48"/>
      <c r="T125" s="130" t="str">
        <f>IF(ISBLANK(PT),"____________________",PT)</f>
        <v>____________________</v>
      </c>
      <c r="V125" s="132"/>
    </row>
    <row r="126" spans="1:23" ht="14.1" customHeight="1">
      <c r="B126" s="40" t="str">
        <f>'Industrial Truck DSC'!B64</f>
        <v>Group Insurance</v>
      </c>
      <c r="C126" s="40"/>
      <c r="D126" s="41"/>
      <c r="E126" s="41"/>
      <c r="F126" s="41"/>
      <c r="H126" s="41"/>
      <c r="I126" s="39"/>
      <c r="J126" s="41"/>
      <c r="K126" s="41"/>
      <c r="L126" s="41"/>
      <c r="M126" s="41"/>
      <c r="S126" s="48"/>
      <c r="T126" s="130" t="str">
        <f>IF(ISBLANK(GRP_INS),"____________________",GRP_INS)</f>
        <v>____________________</v>
      </c>
      <c r="V126" s="132"/>
    </row>
    <row r="127" spans="1:23" ht="14.1" customHeight="1">
      <c r="B127" s="40" t="str">
        <f>'Industrial Truck DSC'!B65</f>
        <v>Employee Benefits</v>
      </c>
      <c r="E127" s="41"/>
      <c r="F127" s="41"/>
      <c r="G127" s="41"/>
      <c r="H127" s="39"/>
      <c r="I127" s="41"/>
      <c r="J127" s="41"/>
      <c r="K127" s="41"/>
      <c r="L127" s="41"/>
      <c r="M127" s="41"/>
      <c r="S127" s="48"/>
      <c r="T127" s="136" t="str">
        <f>IF(ISBLANK(BENE),"____________________",BENE)</f>
        <v>____________________</v>
      </c>
      <c r="V127" s="132"/>
    </row>
    <row r="128" spans="1:23" s="1" customFormat="1" ht="14.1" customHeight="1">
      <c r="A128" s="3"/>
      <c r="C128" s="37" t="str">
        <f>'Industrial Truck DSC'!B66</f>
        <v>Payroll Expenses</v>
      </c>
      <c r="S128" s="47" t="str">
        <f>IF(ISBLANK('Industrial Truck DSC'!S66),"__________",'Industrial Truck DSC'!S66)</f>
        <v>$</v>
      </c>
      <c r="T128" s="47" t="str">
        <f>IF((PA&lt;&gt;0),PA,"____________________")</f>
        <v>____________________</v>
      </c>
      <c r="U128" s="135"/>
      <c r="V128" s="135"/>
      <c r="W128" s="23"/>
    </row>
    <row r="129" spans="1:23" s="1" customFormat="1" ht="18" customHeight="1">
      <c r="A129" s="3"/>
      <c r="B129" s="37" t="str">
        <f>'Industrial Truck DSC'!B67</f>
        <v>Occupancy Expenses</v>
      </c>
      <c r="C129" s="37"/>
      <c r="S129" s="47"/>
      <c r="T129" s="47"/>
      <c r="U129" s="135"/>
      <c r="V129" s="135"/>
      <c r="W129" s="23"/>
    </row>
    <row r="130" spans="1:23" s="1" customFormat="1" ht="14.1" customHeight="1">
      <c r="A130" s="3"/>
      <c r="B130" s="40" t="str">
        <f>'Industrial Truck DSC'!B68</f>
        <v>Utilities — heat, light, power, water</v>
      </c>
      <c r="C130" s="37"/>
      <c r="S130" s="47"/>
      <c r="T130" s="130" t="str">
        <f>IF(ISBLANK(UT),"____________________",UT)</f>
        <v>____________________</v>
      </c>
      <c r="U130" s="135"/>
      <c r="V130" s="135"/>
      <c r="W130" s="23"/>
    </row>
    <row r="131" spans="1:23" s="1" customFormat="1" ht="14.1" customHeight="1">
      <c r="A131" s="3"/>
      <c r="B131" s="40" t="str">
        <f>'Industrial Truck DSC'!B69</f>
        <v>Building Repairs &amp; Maintenance</v>
      </c>
      <c r="C131" s="37"/>
      <c r="S131" s="47"/>
      <c r="T131" s="130" t="str">
        <f>IF(ISBLANK(RM),"____________________",RM)</f>
        <v>____________________</v>
      </c>
      <c r="U131" s="135"/>
      <c r="V131" s="135"/>
      <c r="W131" s="23"/>
    </row>
    <row r="132" spans="1:23" s="1" customFormat="1" ht="14.1" customHeight="1">
      <c r="A132" s="3"/>
      <c r="B132" s="40" t="str">
        <f>'Industrial Truck DSC'!B70</f>
        <v>Rent or Real Estate Ownership</v>
      </c>
      <c r="C132" s="37"/>
      <c r="S132" s="47"/>
      <c r="T132" s="136" t="str">
        <f>IF(ISBLANK(Rent),"____________________",Rent)</f>
        <v>____________________</v>
      </c>
      <c r="U132" s="135"/>
      <c r="V132" s="135"/>
      <c r="W132" s="23"/>
    </row>
    <row r="133" spans="1:23" s="1" customFormat="1" ht="14.1" customHeight="1">
      <c r="A133" s="3"/>
      <c r="C133" s="37" t="str">
        <f>'Industrial Truck DSC'!B71</f>
        <v>Occupancy Expenses</v>
      </c>
      <c r="S133" s="47"/>
      <c r="T133" s="47" t="str">
        <f>IF((OC&lt;&gt;0),OC,"____________________")</f>
        <v>____________________</v>
      </c>
      <c r="U133" s="135"/>
      <c r="V133" s="135"/>
      <c r="W133" s="23"/>
    </row>
    <row r="134" spans="1:23" ht="18" customHeight="1">
      <c r="B134" s="37" t="str">
        <f>'Industrial Truck DSC'!B72</f>
        <v>Other Operating Expenses</v>
      </c>
      <c r="S134" s="48"/>
      <c r="T134" s="48"/>
      <c r="V134" s="119"/>
    </row>
    <row r="135" spans="1:23" ht="12.75" customHeight="1">
      <c r="B135" s="40" t="str">
        <f>'Industrial Truck DSC'!B73</f>
        <v>Vehicle</v>
      </c>
      <c r="S135" s="45" t="str">
        <f>IF(ISBLANK('Industrial Truck DSC'!S73),"__________",'Industrial Truck DSC'!S73)</f>
        <v>$</v>
      </c>
      <c r="T135" s="130" t="str">
        <f>IF(ISBLANK(VEH),"____________________",VEH)</f>
        <v>____________________</v>
      </c>
      <c r="V135" s="119"/>
    </row>
    <row r="136" spans="1:23" ht="14.1" customHeight="1">
      <c r="B136" s="40" t="str">
        <f>'Industrial Truck DSC'!B74</f>
        <v>Insurance</v>
      </c>
      <c r="J136" s="39"/>
      <c r="O136" s="38"/>
      <c r="S136" s="48"/>
      <c r="T136" s="130" t="str">
        <f>IF(ISBLANK(Ins),"____________________",Ins)</f>
        <v>____________________</v>
      </c>
      <c r="V136" s="119"/>
    </row>
    <row r="137" spans="1:23" ht="14.1" customHeight="1">
      <c r="B137" s="40" t="str">
        <f>'Industrial Truck DSC'!B90</f>
        <v>Annual Depreciation</v>
      </c>
      <c r="J137" s="39"/>
      <c r="O137" s="38"/>
      <c r="S137" s="48"/>
      <c r="T137" s="130" t="str">
        <f>IF(ISBLANK(DPR),"____________________",DPR)</f>
        <v>____________________</v>
      </c>
      <c r="V137" s="119"/>
    </row>
    <row r="138" spans="1:23" ht="14.1" customHeight="1">
      <c r="B138" s="40" t="str">
        <f>'Industrial Truck DSC'!B76</f>
        <v>Training</v>
      </c>
      <c r="J138" s="39"/>
      <c r="O138" s="38"/>
      <c r="S138" s="48"/>
      <c r="T138" s="130" t="str">
        <f>IF(ISBLANK(TRN),"____________________",TRN)</f>
        <v>____________________</v>
      </c>
      <c r="V138" s="119"/>
    </row>
    <row r="139" spans="1:23" ht="14.1" customHeight="1">
      <c r="B139" s="40" t="str">
        <f>'Industrial Truck DSC'!B77</f>
        <v>Computer &amp; MIS/Communications</v>
      </c>
      <c r="S139" s="48"/>
      <c r="T139" s="130" t="str">
        <f>IF(ISBLANK(MIS),"____________________",MIS)</f>
        <v>____________________</v>
      </c>
      <c r="V139" s="119"/>
    </row>
    <row r="140" spans="1:23" ht="14.1" customHeight="1">
      <c r="B140" s="40" t="str">
        <f>'Industrial Truck DSC'!B78</f>
        <v>Marketing/Advertising/Website Costs</v>
      </c>
      <c r="S140" s="48"/>
      <c r="T140" s="130" t="str">
        <f>IF(ISBLANK(AD),"____________________",AD)</f>
        <v>____________________</v>
      </c>
      <c r="V140" s="119"/>
    </row>
    <row r="141" spans="1:23" ht="14.1" customHeight="1">
      <c r="B141" s="40" t="str">
        <f>'Industrial Truck DSC'!B79</f>
        <v>All Other Operating Expenses</v>
      </c>
      <c r="S141" s="48"/>
      <c r="T141" s="136" t="str">
        <f>IF(ISBLANK(OE),"____________________",OE)</f>
        <v>____________________</v>
      </c>
      <c r="V141" s="119"/>
    </row>
    <row r="142" spans="1:23" ht="14.1" customHeight="1">
      <c r="C142" s="37" t="str">
        <f>'Industrial Truck DSC'!B80</f>
        <v>Other Operating Expenses</v>
      </c>
      <c r="S142" s="47" t="str">
        <f>IF(ISBLANK('Industrial Truck DSC'!S80),"__________________",'Industrial Truck DSC'!S80)</f>
        <v>__________________</v>
      </c>
      <c r="T142" s="133" t="str">
        <f>IF((TOE&lt;&gt;0),TOE,"____________________")</f>
        <v>____________________</v>
      </c>
      <c r="V142" s="135"/>
    </row>
    <row r="143" spans="1:23" ht="18" customHeight="1">
      <c r="C143" s="37" t="str">
        <f>'Industrial Truck DSC'!C81</f>
        <v>Total Operating Expenses</v>
      </c>
      <c r="M143" s="188" t="str">
        <f>'Industrial Truck DSC'!L81</f>
        <v>= Payroll + Occupancy + Other Operating Expenses</v>
      </c>
      <c r="Q143" s="39"/>
      <c r="R143" s="38"/>
      <c r="S143" s="47" t="str">
        <f>IF(ISBLANK('Industrial Truck DSC'!S81),"__________________",'Industrial Truck DSC'!S81)</f>
        <v>$</v>
      </c>
      <c r="T143" s="133" t="str">
        <f>IF((TE&lt;&gt;0),TE,"____________________")</f>
        <v>____________________</v>
      </c>
      <c r="V143" s="135"/>
    </row>
    <row r="144" spans="1:23" ht="18" customHeight="1">
      <c r="B144" s="37" t="str">
        <f>'Industrial Truck DSC'!B82</f>
        <v>Operating Profit</v>
      </c>
      <c r="I144" s="188" t="str">
        <f>'Industrial Truck DSC'!H82</f>
        <v>= Gross Profit - Total Operating Expenses</v>
      </c>
      <c r="O144" s="38"/>
      <c r="P144" s="38"/>
      <c r="Q144" s="38"/>
      <c r="R144" s="38"/>
      <c r="S144" s="47" t="str">
        <f>IF(ISBLANK('Industrial Truck DSC'!S82),"__________________",'Industrial Truck DSC'!S82)</f>
        <v>$</v>
      </c>
      <c r="T144" s="133" t="str">
        <f>IF((OP&lt;&gt;0),OP,"____________________")</f>
        <v>____________________</v>
      </c>
      <c r="V144" s="135"/>
    </row>
    <row r="145" spans="1:23" ht="14.1" customHeight="1">
      <c r="B145" s="40" t="str">
        <f>'Industrial Truck DSC'!B83</f>
        <v>Other Income</v>
      </c>
      <c r="H145" s="39" t="str">
        <f>'Industrial Truck DSC'!H83</f>
        <v>— Interest income, gain on sale of assets, etc.</v>
      </c>
      <c r="O145" s="41"/>
      <c r="P145" s="41"/>
      <c r="Q145" s="41"/>
      <c r="R145" s="41"/>
      <c r="S145" s="48"/>
      <c r="T145" s="130" t="str">
        <f>IF(ISBLANK(OI),"____________________",OI)</f>
        <v>____________________</v>
      </c>
      <c r="V145" s="119"/>
    </row>
    <row r="146" spans="1:23" ht="14.1" customHeight="1">
      <c r="B146" s="40" t="str">
        <f>'Industrial Truck DSC'!B84</f>
        <v>Interest Expense</v>
      </c>
      <c r="H146" s="39" t="str">
        <f>'Industrial Truck DSC'!H84</f>
        <v>— Excluding mortgage interest</v>
      </c>
      <c r="O146" s="38"/>
      <c r="P146" s="38"/>
      <c r="Q146" s="38"/>
      <c r="R146" s="38"/>
      <c r="S146" s="48"/>
      <c r="T146" s="130" t="str">
        <f>IF(ISBLANK(Int),"____________________",Int)</f>
        <v>____________________</v>
      </c>
      <c r="V146" s="119"/>
    </row>
    <row r="147" spans="1:23" ht="14.1" customHeight="1">
      <c r="B147" s="40" t="str">
        <f>'Industrial Truck DSC'!B85</f>
        <v>Other Non-Operating Expenses</v>
      </c>
      <c r="S147" s="48"/>
      <c r="T147" s="136" t="str">
        <f>IF(ISBLANK(Oex),"____________________",Oex)</f>
        <v>____________________</v>
      </c>
      <c r="V147" s="132"/>
    </row>
    <row r="148" spans="1:23" s="1" customFormat="1" ht="14.1" customHeight="1">
      <c r="A148" s="3"/>
      <c r="B148" s="195" t="str">
        <f>'Industrial Truck DSC'!B86</f>
        <v xml:space="preserve">  Profit Before Taxes</v>
      </c>
      <c r="J148" s="39"/>
      <c r="S148" s="47" t="str">
        <f>IF(ISBLANK('Industrial Truck DSC'!S86),"__________________",'Industrial Truck DSC'!S86)</f>
        <v>$</v>
      </c>
      <c r="T148" s="133" t="str">
        <f>IF((PBT&lt;&gt;0),PBT,"____________________")</f>
        <v>____________________</v>
      </c>
      <c r="V148" s="135"/>
      <c r="W148" s="23"/>
    </row>
    <row r="149" spans="1:23" ht="14.1" customHeight="1">
      <c r="B149" s="40" t="str">
        <f>'Industrial Truck DSC'!B87</f>
        <v>Income Taxes</v>
      </c>
      <c r="G149" s="39" t="str">
        <f>'Industrial Truck DSC'!G87</f>
        <v>— Local, State, Federal</v>
      </c>
      <c r="O149" s="38"/>
      <c r="P149" s="38"/>
      <c r="Q149" s="38"/>
      <c r="R149" s="38"/>
      <c r="S149" s="48"/>
      <c r="T149" s="136" t="str">
        <f>IF(ISBLANK(Tax),"____________________",Tax)</f>
        <v>____________________</v>
      </c>
      <c r="V149" s="132"/>
    </row>
    <row r="150" spans="1:23" s="1" customFormat="1" ht="14.1" customHeight="1">
      <c r="A150" s="3"/>
      <c r="B150" s="37" t="str">
        <f>'Industrial Truck DSC'!B88</f>
        <v xml:space="preserve">  Net Profit After Taxes</v>
      </c>
      <c r="S150" s="47" t="str">
        <f>IF(ISBLANK('Industrial Truck DSC'!S88),"__________________",'Industrial Truck DSC'!S88)</f>
        <v>$</v>
      </c>
      <c r="T150" s="133" t="str">
        <f>IF((Net&lt;&gt;0),Net,"____________________")</f>
        <v>____________________</v>
      </c>
      <c r="V150" s="135"/>
      <c r="W150" s="23"/>
    </row>
    <row r="152" spans="1:23" ht="21.9">
      <c r="A152" s="323"/>
      <c r="B152" s="324" t="e">
        <f>#REF!</f>
        <v>#REF!</v>
      </c>
      <c r="C152" s="321"/>
      <c r="D152" s="322"/>
      <c r="E152" s="322"/>
      <c r="F152" s="322"/>
      <c r="G152" s="322"/>
      <c r="H152" s="322"/>
      <c r="I152" s="322"/>
      <c r="J152" s="322"/>
      <c r="K152" s="322"/>
      <c r="L152" s="322"/>
      <c r="M152" s="322"/>
      <c r="N152" s="322"/>
      <c r="O152" s="322"/>
      <c r="P152" s="322"/>
      <c r="Q152" s="322"/>
      <c r="R152" s="322"/>
      <c r="S152" s="322"/>
      <c r="T152" s="322"/>
      <c r="U152" s="325"/>
      <c r="V152" s="26"/>
    </row>
    <row r="153" spans="1:23" ht="6" customHeight="1">
      <c r="B153" s="137"/>
    </row>
    <row r="154" spans="1:23" ht="14.1">
      <c r="A154" s="32" t="str">
        <f>'Industrial Truck DSC'!A92</f>
        <v>7.</v>
      </c>
      <c r="B154" s="37" t="str">
        <f>'Industrial Truck DSC'!B92</f>
        <v>Product Sales &amp; Cost of Sales</v>
      </c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</row>
    <row r="155" spans="1:23">
      <c r="A155" s="20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38"/>
      <c r="O155" s="138"/>
      <c r="P155" s="138" t="str">
        <f>'Industrial Truck DSC'!R92</f>
        <v>Sales</v>
      </c>
      <c r="Q155" s="138"/>
      <c r="R155" s="138" t="str">
        <f>'Industrial Truck DSC'!T92</f>
        <v>Cost of Goods Sold</v>
      </c>
      <c r="S155" s="138"/>
      <c r="T155" s="138"/>
      <c r="U155" s="12"/>
    </row>
    <row r="156" spans="1:23" ht="15" customHeight="1">
      <c r="A156" s="20"/>
      <c r="B156" s="137" t="str">
        <f>'Industrial Truck DSC'!B94</f>
        <v>New Power Equipment</v>
      </c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25"/>
      <c r="O156" s="12"/>
      <c r="P156" s="199" t="str">
        <f>IF(ISBLANK(NS_New),"_______________",NS_New)</f>
        <v>_______________</v>
      </c>
      <c r="Q156" s="199"/>
      <c r="R156" s="199" t="str">
        <f>IF(ISBLANK(COGS_New),"_______________",COGS_New)</f>
        <v>_______________</v>
      </c>
      <c r="S156" s="12"/>
      <c r="T156" s="2"/>
      <c r="U156" s="12"/>
    </row>
    <row r="157" spans="1:23" ht="15" customHeight="1">
      <c r="A157" s="20"/>
      <c r="B157" s="137" t="str">
        <f>'Industrial Truck DSC'!B95</f>
        <v>Used Power Equipment</v>
      </c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25"/>
      <c r="O157" s="12"/>
      <c r="P157" s="200" t="str">
        <f>IF(ISBLANK(NS_Used),"_______________",NS_Used)</f>
        <v>_______________</v>
      </c>
      <c r="Q157" s="200"/>
      <c r="R157" s="200" t="str">
        <f>IF(ISBLANK(COGS_Used),"_______________",COGS_Used)</f>
        <v>_______________</v>
      </c>
      <c r="S157" s="12"/>
      <c r="T157" s="2"/>
      <c r="U157" s="12"/>
    </row>
    <row r="158" spans="1:23" ht="15" customHeight="1">
      <c r="A158" s="20"/>
      <c r="B158" s="137" t="str">
        <f>'Industrial Truck DSC'!B96</f>
        <v>Storage/Handling Products</v>
      </c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25"/>
      <c r="O158" s="12"/>
      <c r="P158" s="200" t="str">
        <f>IF(ISBLANK(NS_SH),"_______________",NS_SH)</f>
        <v>_______________</v>
      </c>
      <c r="Q158" s="200"/>
      <c r="R158" s="200" t="str">
        <f>IF(ISBLANK(COGS_SH),"_______________",COGS_SH)</f>
        <v>_______________</v>
      </c>
      <c r="S158" s="12"/>
      <c r="T158" s="2"/>
      <c r="U158" s="12"/>
    </row>
    <row r="159" spans="1:23" ht="15" customHeight="1">
      <c r="A159" s="20"/>
      <c r="B159" s="137" t="str">
        <f>'Industrial Truck DSC'!B97</f>
        <v>Engineered Systems</v>
      </c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25"/>
      <c r="O159" s="12"/>
      <c r="P159" s="200" t="str">
        <f>IF(ISBLANK(NS_ES),"_______________",NS_ES)</f>
        <v>_______________</v>
      </c>
      <c r="Q159" s="200"/>
      <c r="R159" s="200" t="str">
        <f>IF(ISBLANK(COGS_ES),"_______________",COGS_ES)</f>
        <v>_______________</v>
      </c>
      <c r="S159" s="12"/>
      <c r="T159" s="2"/>
      <c r="U159" s="12"/>
    </row>
    <row r="160" spans="1:23" ht="15" customHeight="1">
      <c r="A160" s="20"/>
      <c r="B160" s="137" t="str">
        <f>'Industrial Truck DSC'!B98</f>
        <v>Parts</v>
      </c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25"/>
      <c r="O160" s="12"/>
      <c r="P160" s="200" t="str">
        <f>IF(ISBLANK(NS_Counter),"_______________",NS_Counter)</f>
        <v>_______________</v>
      </c>
      <c r="Q160" s="200"/>
      <c r="R160" s="200" t="str">
        <f>IF(ISBLANK(COGS_Counter),"_______________",COGS_Counter)</f>
        <v>_______________</v>
      </c>
      <c r="S160" s="12"/>
      <c r="T160" s="2"/>
      <c r="U160" s="12"/>
    </row>
    <row r="161" spans="1:21" ht="15" customHeight="1">
      <c r="A161" s="20"/>
      <c r="B161" s="33" t="str">
        <f>'Industrial Truck DSC'!B99</f>
        <v>Service – Customer &amp; Internal</v>
      </c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25"/>
      <c r="O161" s="12"/>
      <c r="P161" s="200" t="str">
        <f>IF(ISBLANK(NS_SVC),"_______________",NS_SVC)</f>
        <v>_______________</v>
      </c>
      <c r="Q161" s="200"/>
      <c r="R161" s="200" t="str">
        <f>IF(ISBLANK(COGS_SVC),"_______________",COGS_SVC)</f>
        <v>_______________</v>
      </c>
      <c r="S161" s="12"/>
      <c r="T161" s="2"/>
      <c r="U161" s="12"/>
    </row>
    <row r="162" spans="1:21" ht="15" customHeight="1">
      <c r="A162" s="20"/>
      <c r="B162" s="137" t="str">
        <f>'Industrial Truck DSC'!B100</f>
        <v>Rental Billings – Customer &amp; Internal</v>
      </c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25"/>
      <c r="O162" s="12"/>
      <c r="P162" s="200" t="str">
        <f>IF(ISBLANK(NS_RENT),"_______________",NS_RENT)</f>
        <v>_______________</v>
      </c>
      <c r="Q162" s="200"/>
      <c r="R162" s="200" t="str">
        <f>IF(ISBLANK(COGS_Rent),"_______________",COGS_Rent)</f>
        <v>_______________</v>
      </c>
      <c r="S162" s="12"/>
      <c r="T162" s="2"/>
      <c r="U162" s="12"/>
    </row>
    <row r="163" spans="1:21" ht="15" customHeight="1">
      <c r="A163" s="20"/>
      <c r="B163" s="137" t="str">
        <f>'Industrial Truck DSC'!B101</f>
        <v>All Other Sales</v>
      </c>
      <c r="C163" s="12"/>
      <c r="D163" s="12"/>
      <c r="E163" s="12"/>
      <c r="F163" s="60"/>
      <c r="G163" s="12"/>
      <c r="H163" s="12"/>
      <c r="I163" s="12"/>
      <c r="J163" s="12"/>
      <c r="K163" s="12"/>
      <c r="L163" s="12"/>
      <c r="M163" s="12"/>
      <c r="N163" s="25"/>
      <c r="O163" s="12"/>
      <c r="P163" s="201" t="str">
        <f>IF((NS_OTH&lt;&gt;NS),NS_OTH,"_______________")</f>
        <v>_______________</v>
      </c>
      <c r="Q163" s="201"/>
      <c r="R163" s="201" t="str">
        <f>IF((COGS_OTH&lt;&gt;COGS),COGS_OTH,"_______________")</f>
        <v>_______________</v>
      </c>
      <c r="S163" s="12"/>
      <c r="T163" s="2"/>
      <c r="U163" s="12"/>
    </row>
    <row r="164" spans="1:21" ht="15" customHeight="1">
      <c r="A164" s="20"/>
      <c r="B164" s="137"/>
      <c r="C164" s="137" t="s">
        <v>209</v>
      </c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25"/>
      <c r="O164" s="12"/>
      <c r="P164" s="199" t="str">
        <f>IF(ISBLANK(NS),"_______________",NS)</f>
        <v>_______________</v>
      </c>
      <c r="Q164" s="188"/>
      <c r="R164" s="199" t="str">
        <f>IF((COGS&gt;0),COGS,"_______________")</f>
        <v>_______________</v>
      </c>
      <c r="S164" s="12"/>
      <c r="T164" s="2"/>
      <c r="U164" s="12"/>
    </row>
    <row r="165" spans="1:21" ht="14.1">
      <c r="A165" s="137"/>
      <c r="B165" s="197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25"/>
      <c r="O165" s="12"/>
      <c r="P165" s="196"/>
      <c r="Q165" s="196"/>
      <c r="R165" s="196"/>
      <c r="S165" s="196"/>
      <c r="T165" s="196"/>
      <c r="U165" s="12"/>
    </row>
    <row r="166" spans="1:21" ht="13.8">
      <c r="A166" s="137"/>
      <c r="B166" s="137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25"/>
      <c r="O166" s="12"/>
      <c r="P166" s="196"/>
      <c r="Q166" s="196"/>
      <c r="R166" s="196"/>
      <c r="S166" s="196"/>
      <c r="T166" s="196"/>
      <c r="U166" s="12"/>
    </row>
    <row r="167" spans="1:21" ht="13.8">
      <c r="A167" s="20"/>
      <c r="B167" s="137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25"/>
      <c r="O167" s="12"/>
      <c r="P167" s="199"/>
      <c r="Q167" s="199"/>
      <c r="R167" s="199"/>
      <c r="S167" s="199"/>
      <c r="T167" s="199"/>
      <c r="U167" s="12"/>
    </row>
    <row r="168" spans="1:21" ht="13.8">
      <c r="A168" s="20"/>
      <c r="B168" s="137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25"/>
      <c r="O168" s="12"/>
      <c r="P168" s="200"/>
      <c r="Q168" s="200"/>
      <c r="R168" s="200"/>
      <c r="S168" s="200"/>
      <c r="T168" s="200"/>
      <c r="U168" s="12"/>
    </row>
    <row r="169" spans="1:21" ht="13.8">
      <c r="A169" s="20"/>
      <c r="B169" s="137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25"/>
      <c r="O169" s="12"/>
      <c r="P169" s="200"/>
      <c r="Q169" s="200"/>
      <c r="R169" s="200"/>
      <c r="S169" s="200"/>
      <c r="T169" s="200"/>
      <c r="U169" s="12"/>
    </row>
    <row r="170" spans="1:21" ht="13.8">
      <c r="A170" s="20"/>
      <c r="B170" s="137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25"/>
      <c r="O170" s="12"/>
      <c r="P170" s="200"/>
      <c r="Q170" s="200"/>
      <c r="R170" s="200"/>
      <c r="S170" s="200"/>
      <c r="T170" s="200"/>
      <c r="U170" s="12"/>
    </row>
    <row r="171" spans="1:21" ht="13.8">
      <c r="A171" s="20"/>
      <c r="B171" s="137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25"/>
      <c r="O171" s="12"/>
      <c r="P171" s="201"/>
      <c r="Q171" s="201"/>
      <c r="R171" s="201"/>
      <c r="S171" s="201"/>
      <c r="T171" s="201"/>
      <c r="U171" s="12"/>
    </row>
    <row r="172" spans="1:21" ht="13.8">
      <c r="A172" s="20"/>
      <c r="B172" s="137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25"/>
      <c r="O172" s="12"/>
      <c r="P172" s="199"/>
      <c r="Q172" s="188"/>
      <c r="R172" s="199"/>
      <c r="S172" s="188"/>
      <c r="T172" s="199"/>
      <c r="U172" s="12"/>
    </row>
  </sheetData>
  <mergeCells count="4">
    <mergeCell ref="L8:N8"/>
    <mergeCell ref="M117:O117"/>
    <mergeCell ref="N20:R20"/>
    <mergeCell ref="P21:S21"/>
  </mergeCells>
  <phoneticPr fontId="0" type="noConversion"/>
  <hyperlinks>
    <hyperlink ref="B21" r:id="rId1" display="mailto:surveys@mackayresearchgroup.com"/>
    <hyperlink ref="P21" r:id="rId2" display="mailto:surveys@mackayresearchgroup.com"/>
    <hyperlink ref="N20" r:id="rId3" display="mailto:info@mackayresearchgroup.com"/>
    <hyperlink ref="N20:R20" r:id="rId4" display="mailto:taylor@mackayresearchgroup.com"/>
  </hyperlinks>
  <pageMargins left="0.25" right="0.25" top="0.25" bottom="0.25" header="0.25" footer="0.25"/>
  <pageSetup orientation="portrait" r:id="rId5"/>
  <headerFooter alignWithMargins="0"/>
  <rowBreaks count="4" manualBreakCount="4">
    <brk id="33" max="21" man="1"/>
    <brk id="83" max="21" man="1"/>
    <brk id="116" max="21" man="1"/>
    <brk id="164" max="21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00"/>
  <sheetViews>
    <sheetView zoomScaleNormal="100" zoomScaleSheetLayoutView="75" workbookViewId="0">
      <selection activeCell="B1" sqref="B1"/>
    </sheetView>
  </sheetViews>
  <sheetFormatPr defaultRowHeight="15"/>
  <cols>
    <col min="1" max="1" width="18" bestFit="1" customWidth="1"/>
    <col min="2" max="2" width="12.71875" customWidth="1"/>
    <col min="3" max="3" width="5.71875" customWidth="1"/>
    <col min="4" max="4" width="13.1640625" style="55" bestFit="1" customWidth="1"/>
    <col min="5" max="5" width="9.71875" style="55" customWidth="1"/>
    <col min="6" max="8" width="9.1640625" style="55" customWidth="1"/>
    <col min="12" max="12" width="5.1640625" bestFit="1" customWidth="1"/>
    <col min="13" max="13" width="7.71875" bestFit="1" customWidth="1"/>
    <col min="14" max="14" width="13.1640625" bestFit="1" customWidth="1"/>
  </cols>
  <sheetData>
    <row r="1" spans="1:14" ht="12.75" customHeight="1">
      <c r="A1" s="4" t="s">
        <v>89</v>
      </c>
      <c r="B1" s="229">
        <f>Yr</f>
        <v>2025</v>
      </c>
      <c r="C1" s="5" t="s">
        <v>144</v>
      </c>
      <c r="D1" s="5" t="s">
        <v>614</v>
      </c>
      <c r="E1" s="1" t="s">
        <v>12</v>
      </c>
      <c r="F1" s="1" t="s">
        <v>615</v>
      </c>
      <c r="G1" s="1" t="s">
        <v>616</v>
      </c>
      <c r="H1" s="1" t="s">
        <v>617</v>
      </c>
      <c r="I1" s="1" t="s">
        <v>618</v>
      </c>
      <c r="J1" s="1" t="s">
        <v>619</v>
      </c>
      <c r="K1" s="1" t="s">
        <v>85</v>
      </c>
      <c r="L1" s="1" t="s">
        <v>86</v>
      </c>
      <c r="M1" s="338" t="s">
        <v>92</v>
      </c>
      <c r="N1" s="339" t="s">
        <v>93</v>
      </c>
    </row>
    <row r="2" spans="1:14" ht="12.75" customHeight="1">
      <c r="A2" s="4" t="s">
        <v>302</v>
      </c>
      <c r="B2" s="5" t="s">
        <v>287</v>
      </c>
      <c r="C2" s="4" t="str">
        <f>IF(ISBLANK(ID),"b",ID)</f>
        <v>b</v>
      </c>
      <c r="D2" s="7" t="s">
        <v>287</v>
      </c>
      <c r="E2" s="4" t="str">
        <f>IF(ISBLANK(Name),"b",Name)</f>
        <v>b</v>
      </c>
      <c r="F2" s="4" t="str">
        <f>IF(ISBLANK(Person),"b",Person)</f>
        <v>b</v>
      </c>
      <c r="G2" s="4" t="str">
        <f>IF(ISBLANK(eaddr),"b",eaddr)</f>
        <v>b</v>
      </c>
      <c r="J2" s="4" t="str">
        <f>IF(ISBLANK(Addr1),"b",Addr1)</f>
        <v>b</v>
      </c>
      <c r="K2" s="4" t="str">
        <f>IF(ISBLANK(City),"b",City)</f>
        <v>b</v>
      </c>
      <c r="L2" s="4" t="str">
        <f>IF(ISBLANK(State),"b",State)</f>
        <v>b</v>
      </c>
      <c r="M2" s="230" t="str">
        <f>IF(ISBLANK(Zipcode),"b",Zipcode)</f>
        <v>b</v>
      </c>
      <c r="N2" s="340" t="str">
        <f>IF(ISBLANK(Phone),"b",Phone)</f>
        <v>b</v>
      </c>
    </row>
    <row r="3" spans="1:14" ht="16.2">
      <c r="A3" s="202" t="s">
        <v>144</v>
      </c>
      <c r="B3" s="4" t="str">
        <f>IF(ISBLANK(ID),"b",ID)</f>
        <v>b</v>
      </c>
      <c r="C3" s="202"/>
      <c r="D3" s="1"/>
    </row>
    <row r="4" spans="1:14" ht="12.75" customHeight="1">
      <c r="A4" s="231" t="s">
        <v>83</v>
      </c>
      <c r="B4" s="231" t="s">
        <v>311</v>
      </c>
      <c r="D4" s="416"/>
      <c r="E4" s="1" t="s">
        <v>642</v>
      </c>
    </row>
    <row r="5" spans="1:14" ht="12.75" customHeight="1">
      <c r="A5" s="231" t="s">
        <v>84</v>
      </c>
      <c r="B5" s="231" t="s">
        <v>311</v>
      </c>
    </row>
    <row r="6" spans="1:14" ht="12.75" customHeight="1">
      <c r="A6" s="231" t="s">
        <v>12</v>
      </c>
      <c r="B6" s="231" t="s">
        <v>311</v>
      </c>
    </row>
    <row r="7" spans="1:14" ht="12.75" customHeight="1">
      <c r="A7" s="231" t="s">
        <v>90</v>
      </c>
      <c r="B7" s="231" t="s">
        <v>311</v>
      </c>
    </row>
    <row r="8" spans="1:14" ht="12.75" customHeight="1">
      <c r="A8" s="231" t="s">
        <v>91</v>
      </c>
      <c r="B8" s="231" t="s">
        <v>311</v>
      </c>
      <c r="C8" s="4"/>
      <c r="D8"/>
    </row>
    <row r="9" spans="1:14" ht="12.75" customHeight="1">
      <c r="A9" s="231" t="s">
        <v>85</v>
      </c>
      <c r="B9" s="231" t="s">
        <v>311</v>
      </c>
      <c r="C9" s="4"/>
      <c r="D9"/>
    </row>
    <row r="10" spans="1:14" ht="12.75" customHeight="1">
      <c r="A10" s="231" t="s">
        <v>86</v>
      </c>
      <c r="B10" s="231" t="s">
        <v>311</v>
      </c>
      <c r="C10" s="4"/>
      <c r="D10"/>
    </row>
    <row r="11" spans="1:14" ht="12.75" customHeight="1">
      <c r="A11" s="4" t="s">
        <v>92</v>
      </c>
      <c r="B11" s="230" t="str">
        <f>IF(ISBLANK(Zipcode),"b",Zipcode)</f>
        <v>b</v>
      </c>
      <c r="C11" s="4"/>
      <c r="D11"/>
    </row>
    <row r="12" spans="1:14" ht="12.75" customHeight="1">
      <c r="A12" s="231" t="s">
        <v>93</v>
      </c>
      <c r="B12" s="231" t="s">
        <v>311</v>
      </c>
      <c r="C12" s="4"/>
      <c r="D12"/>
    </row>
    <row r="13" spans="1:14" ht="12.75" customHeight="1">
      <c r="A13" s="231" t="s">
        <v>34</v>
      </c>
      <c r="B13" s="231" t="s">
        <v>311</v>
      </c>
      <c r="C13" s="4"/>
      <c r="D13"/>
    </row>
    <row r="14" spans="1:14" ht="12.75" customHeight="1">
      <c r="A14" s="231" t="s">
        <v>94</v>
      </c>
      <c r="B14" s="231" t="s">
        <v>311</v>
      </c>
      <c r="C14" s="4"/>
      <c r="D14"/>
    </row>
    <row r="15" spans="1:14" ht="12.75" customHeight="1">
      <c r="A15" s="369" t="s">
        <v>95</v>
      </c>
      <c r="B15" s="369" t="str">
        <f>IF(Org="","b",IF(ISBLANK(Org),"b",Org))</f>
        <v>b</v>
      </c>
      <c r="C15" s="4"/>
      <c r="D15"/>
    </row>
    <row r="16" spans="1:14" ht="12.75" customHeight="1">
      <c r="A16" s="369" t="s">
        <v>225</v>
      </c>
      <c r="B16" s="371" t="str">
        <f>IF(ISBLANK(CUST),"b",CUST)</f>
        <v>b</v>
      </c>
      <c r="C16" s="4"/>
      <c r="D16"/>
    </row>
    <row r="17" spans="1:4" ht="12.75" customHeight="1">
      <c r="A17" s="369" t="s">
        <v>226</v>
      </c>
      <c r="B17" s="371" t="str">
        <f>IF(IntParts="","b",IF(ISBLANK(IntParts),"b",IntParts))</f>
        <v>b</v>
      </c>
      <c r="C17" s="4"/>
      <c r="D17"/>
    </row>
    <row r="18" spans="1:4" ht="12.75" customHeight="1">
      <c r="A18" s="369" t="s">
        <v>227</v>
      </c>
      <c r="B18" s="371" t="str">
        <f>IF(IntSvc="","b",IF(ISBLANK(IntSvc),"b",IntSvc))</f>
        <v>b</v>
      </c>
      <c r="C18" s="4"/>
      <c r="D18"/>
    </row>
    <row r="19" spans="1:4" ht="12.75" customHeight="1">
      <c r="A19" s="369" t="s">
        <v>214</v>
      </c>
      <c r="B19" s="370" t="str">
        <f>IF(Emp&gt;0,EMP_Exec,"b")</f>
        <v>b</v>
      </c>
      <c r="C19" s="4"/>
      <c r="D19"/>
    </row>
    <row r="20" spans="1:4" ht="12.75" customHeight="1">
      <c r="A20" s="4" t="s">
        <v>325</v>
      </c>
      <c r="B20" s="211" t="str">
        <f>IF(Emp&gt;0,EMP_Out,"b")</f>
        <v>b</v>
      </c>
      <c r="C20" s="4"/>
      <c r="D20"/>
    </row>
    <row r="21" spans="1:4" ht="12.75" customHeight="1">
      <c r="A21" s="369" t="s">
        <v>326</v>
      </c>
      <c r="B21" s="370" t="str">
        <f>IF(Emp&gt;0,EMP_Inside,"b")</f>
        <v>b</v>
      </c>
      <c r="C21" s="4"/>
      <c r="D21"/>
    </row>
    <row r="22" spans="1:4" ht="12.75" customHeight="1">
      <c r="A22" s="231" t="s">
        <v>334</v>
      </c>
      <c r="B22" s="341" t="str">
        <f>IF(Emp&gt;0,EMP_PM,"b")</f>
        <v>b</v>
      </c>
      <c r="C22" s="4"/>
      <c r="D22"/>
    </row>
    <row r="23" spans="1:4" ht="12.75" customHeight="1">
      <c r="A23" s="4" t="s">
        <v>330</v>
      </c>
      <c r="B23" s="211" t="str">
        <f>IF(Emp&gt;0,EMP_Rental,"b")</f>
        <v>b</v>
      </c>
      <c r="C23" s="4"/>
      <c r="D23"/>
    </row>
    <row r="24" spans="1:4" ht="12.75" customHeight="1">
      <c r="A24" s="4" t="s">
        <v>331</v>
      </c>
      <c r="B24" s="211" t="str">
        <f>IF(Emp&gt;0,EMP_Parts,"b")</f>
        <v>b</v>
      </c>
      <c r="C24" s="4"/>
      <c r="D24"/>
    </row>
    <row r="25" spans="1:4" ht="12.75" customHeight="1">
      <c r="A25" s="369" t="s">
        <v>332</v>
      </c>
      <c r="B25" s="370" t="str">
        <f>IF(Emp&gt;0,EMP_Tech,"b")</f>
        <v>b</v>
      </c>
      <c r="C25" s="4"/>
      <c r="D25"/>
    </row>
    <row r="26" spans="1:4" ht="12.75" customHeight="1">
      <c r="A26" s="4" t="s">
        <v>333</v>
      </c>
      <c r="B26" s="211" t="str">
        <f>IF(Emp&gt;0,EMP_SVC,"b")</f>
        <v>b</v>
      </c>
      <c r="C26" s="1"/>
      <c r="D26" s="52"/>
    </row>
    <row r="27" spans="1:4" ht="12.75" customHeight="1">
      <c r="A27" s="369" t="s">
        <v>336</v>
      </c>
      <c r="B27" s="370" t="str">
        <f>IF(Emp&gt;0,EMP_WHS,"b")</f>
        <v>b</v>
      </c>
      <c r="C27" s="4"/>
    </row>
    <row r="28" spans="1:4" ht="12.75" customHeight="1">
      <c r="A28" s="4" t="s">
        <v>96</v>
      </c>
      <c r="B28" s="211" t="str">
        <f>IF(Emp&gt;0,Oemp,"b")</f>
        <v>b</v>
      </c>
      <c r="C28" s="4"/>
    </row>
    <row r="29" spans="1:4" ht="12.75" customHeight="1">
      <c r="A29" s="1" t="s">
        <v>97</v>
      </c>
      <c r="B29" s="19" t="str">
        <f>IF(Emp&gt;0,Emp,"b")</f>
        <v>b</v>
      </c>
      <c r="C29" s="4"/>
    </row>
    <row r="30" spans="1:4" ht="12.75" customHeight="1">
      <c r="A30" s="369" t="s">
        <v>327</v>
      </c>
      <c r="B30" s="372" t="str">
        <f>IF(ISBLANK(PA_Exec),"b",PA_Exec)</f>
        <v>b</v>
      </c>
      <c r="C30" s="4"/>
    </row>
    <row r="31" spans="1:4" ht="12.75" customHeight="1">
      <c r="A31" s="4" t="s">
        <v>328</v>
      </c>
      <c r="B31" s="182" t="str">
        <f>IF(ISBLANK(PA_Out),"b",PA_Out)</f>
        <v>b</v>
      </c>
      <c r="C31" s="4"/>
    </row>
    <row r="32" spans="1:4" ht="12.75" customHeight="1">
      <c r="A32" s="369" t="s">
        <v>329</v>
      </c>
      <c r="B32" s="372" t="str">
        <f>IF(ISBLANK(PA_Inside),"b",PA_Inside)</f>
        <v>b</v>
      </c>
      <c r="C32" s="4"/>
    </row>
    <row r="33" spans="1:4" ht="12.75" customHeight="1">
      <c r="A33" s="231" t="s">
        <v>338</v>
      </c>
      <c r="B33" s="231" t="s">
        <v>311</v>
      </c>
      <c r="C33" s="4"/>
    </row>
    <row r="34" spans="1:4" ht="12.75" customHeight="1">
      <c r="A34" s="4" t="s">
        <v>275</v>
      </c>
      <c r="B34" s="182" t="str">
        <f>IF(ISBLANK(PA_Rental),"b",PA_Rental)</f>
        <v>b</v>
      </c>
      <c r="C34" s="4"/>
    </row>
    <row r="35" spans="1:4" ht="12.75" customHeight="1">
      <c r="A35" s="4" t="s">
        <v>273</v>
      </c>
      <c r="B35" s="182" t="str">
        <f>IF(ISBLANK(PA_Parts),"b",PA_Parts)</f>
        <v>b</v>
      </c>
      <c r="C35" s="4"/>
    </row>
    <row r="36" spans="1:4" ht="12.75" customHeight="1">
      <c r="A36" s="369" t="s">
        <v>304</v>
      </c>
      <c r="B36" s="372">
        <f>IF(ISBLANK(PA_Tech),"b",PA_Tech)</f>
        <v>0</v>
      </c>
      <c r="C36" s="1" t="s">
        <v>630</v>
      </c>
    </row>
    <row r="37" spans="1:4" ht="12.75" customHeight="1">
      <c r="A37" s="4" t="s">
        <v>305</v>
      </c>
      <c r="B37" s="182" t="str">
        <f>IF(ISBLANK(PA_SVC),"b",PA_SVC)</f>
        <v>b</v>
      </c>
      <c r="C37" s="4"/>
    </row>
    <row r="38" spans="1:4" ht="12.75" customHeight="1">
      <c r="A38" s="369" t="s">
        <v>337</v>
      </c>
      <c r="B38" s="372" t="str">
        <f>IF(ISBLANK(PA_WHS),"b",PA_WHS)</f>
        <v>b</v>
      </c>
      <c r="C38" s="4"/>
    </row>
    <row r="39" spans="1:4" ht="12.75" customHeight="1">
      <c r="A39" s="4" t="s">
        <v>321</v>
      </c>
      <c r="B39" s="212" t="str">
        <f>IF(SAL_TOT&gt;0,PA_OTH,"b")</f>
        <v>b</v>
      </c>
      <c r="C39" s="4"/>
    </row>
    <row r="40" spans="1:4" ht="12.75" customHeight="1">
      <c r="A40" s="4" t="s">
        <v>306</v>
      </c>
      <c r="B40" s="232" t="str">
        <f>IF(SAL_TOT&gt;0,SAL_TOT,"b")</f>
        <v>b</v>
      </c>
      <c r="C40" s="1"/>
      <c r="D40" s="182"/>
    </row>
    <row r="41" spans="1:4" ht="12.75" customHeight="1">
      <c r="A41" s="4" t="s">
        <v>215</v>
      </c>
      <c r="B41" s="13" t="str">
        <f>IF(ISBLANK(TechApplied),"b",TechApplied)</f>
        <v>b</v>
      </c>
      <c r="C41" s="4"/>
    </row>
    <row r="42" spans="1:4" ht="12.75" customHeight="1">
      <c r="A42" s="4" t="s">
        <v>216</v>
      </c>
      <c r="B42" s="13" t="str">
        <f>IF(ISBLANK(TechBilled),"b",TechBilled)</f>
        <v>b</v>
      </c>
      <c r="C42" s="4"/>
    </row>
    <row r="43" spans="1:4" ht="12.75" customHeight="1">
      <c r="A43" s="4" t="s">
        <v>217</v>
      </c>
      <c r="B43" s="13" t="str">
        <f>IF(ISBLANK(TechPaid),"b",TechPaid)</f>
        <v>b</v>
      </c>
      <c r="C43" s="4"/>
    </row>
    <row r="44" spans="1:4" ht="12.75" customHeight="1">
      <c r="A44" s="4" t="s">
        <v>218</v>
      </c>
      <c r="B44" s="13" t="str">
        <f>IF(ISBLANK(SvcCalls),"b",SvcCalls)</f>
        <v>b</v>
      </c>
      <c r="C44" s="4"/>
    </row>
    <row r="45" spans="1:4" ht="12.75" customHeight="1">
      <c r="A45" s="4" t="s">
        <v>219</v>
      </c>
      <c r="B45" s="182" t="str">
        <f>IF(ISBLANK(SvcVeh_),"b",SvcVeh_)</f>
        <v>b</v>
      </c>
      <c r="C45" s="4"/>
    </row>
    <row r="46" spans="1:4" ht="12.75" customHeight="1">
      <c r="A46" s="369" t="s">
        <v>220</v>
      </c>
      <c r="B46" s="372" t="str">
        <f>IF(ISBLANK(SvcRecover),"b",SvcRecover)</f>
        <v>b</v>
      </c>
      <c r="C46" s="4"/>
    </row>
    <row r="47" spans="1:4" ht="12.75" customHeight="1">
      <c r="A47" s="369" t="s">
        <v>221</v>
      </c>
      <c r="B47" s="382" t="str">
        <f>IF(ISBLANK(SvcJobs),"b",SvcJobs)</f>
        <v>b</v>
      </c>
      <c r="C47" s="1"/>
    </row>
    <row r="48" spans="1:4" ht="12.75" customHeight="1">
      <c r="A48" s="4" t="s">
        <v>222</v>
      </c>
      <c r="B48" s="61" t="str">
        <f>IF(ISBLANK(STunits),"b",STunits)</f>
        <v>b</v>
      </c>
      <c r="C48" s="1"/>
    </row>
    <row r="49" spans="1:3" ht="12.75" customHeight="1">
      <c r="A49" s="4" t="s">
        <v>223</v>
      </c>
      <c r="B49" s="182" t="str">
        <f>IF(ISBLANK(STvalue),"b",STvalue)</f>
        <v>b</v>
      </c>
      <c r="C49" s="1"/>
    </row>
    <row r="50" spans="1:3" ht="12.75" customHeight="1">
      <c r="A50" s="4" t="s">
        <v>224</v>
      </c>
      <c r="B50" s="61" t="str">
        <f>IF(ISBLANK(STutil),"b",STutil)</f>
        <v>b</v>
      </c>
      <c r="C50" s="1"/>
    </row>
    <row r="51" spans="1:3" ht="12.75" customHeight="1">
      <c r="A51" s="231"/>
      <c r="B51" s="226"/>
      <c r="C51" s="1"/>
    </row>
    <row r="52" spans="1:3" ht="12.75" customHeight="1">
      <c r="A52" s="231"/>
      <c r="B52" s="226"/>
      <c r="C52" s="1"/>
    </row>
    <row r="53" spans="1:3" ht="12.75" customHeight="1">
      <c r="A53" s="231"/>
      <c r="B53" s="226"/>
      <c r="C53" s="1"/>
    </row>
    <row r="54" spans="1:3" ht="12.75" customHeight="1">
      <c r="A54" s="231"/>
      <c r="B54" s="226"/>
      <c r="C54" s="1"/>
    </row>
    <row r="55" spans="1:3" ht="12.75" customHeight="1">
      <c r="A55" s="231"/>
      <c r="B55" s="226"/>
      <c r="C55" s="1"/>
    </row>
    <row r="56" spans="1:3" ht="12.75" customHeight="1">
      <c r="A56" s="231"/>
      <c r="B56" s="226"/>
      <c r="C56" s="1"/>
    </row>
    <row r="57" spans="1:3" ht="12.75" customHeight="1">
      <c r="A57" s="231"/>
      <c r="B57" s="226"/>
      <c r="C57" s="1"/>
    </row>
    <row r="58" spans="1:3" ht="12.75" customHeight="1">
      <c r="A58" s="231"/>
      <c r="B58" s="226"/>
      <c r="C58" s="1"/>
    </row>
    <row r="59" spans="1:3" ht="12.75" customHeight="1">
      <c r="A59" s="231"/>
      <c r="B59" s="226"/>
      <c r="C59" s="1"/>
    </row>
    <row r="60" spans="1:3" ht="12.75" customHeight="1">
      <c r="A60" s="233" t="s">
        <v>307</v>
      </c>
      <c r="B60" s="227"/>
      <c r="C60" s="1"/>
    </row>
    <row r="61" spans="1:3" ht="12.75" customHeight="1">
      <c r="A61" s="4" t="s">
        <v>99</v>
      </c>
      <c r="B61" s="234" t="str">
        <f>IF(ISBLANK(AAR),IF(AR&gt;0,AR,"b"),AAR)</f>
        <v>b</v>
      </c>
    </row>
    <row r="62" spans="1:3" ht="12.75" customHeight="1">
      <c r="A62" s="4" t="s">
        <v>100</v>
      </c>
      <c r="B62" s="13" t="str">
        <f>IF(Inv&gt;0,Inv,"b")</f>
        <v>b</v>
      </c>
      <c r="C62" s="4"/>
    </row>
    <row r="63" spans="1:3" ht="12.75" customHeight="1">
      <c r="A63" s="4" t="s">
        <v>228</v>
      </c>
      <c r="B63" s="235" t="str">
        <f>IF(ISBLANK(AAP),IF(AP&gt;0,AP,"b"),AAP)</f>
        <v>b</v>
      </c>
      <c r="C63" s="4"/>
    </row>
    <row r="64" spans="1:3" ht="12.75" customHeight="1">
      <c r="A64" s="369" t="s">
        <v>229</v>
      </c>
      <c r="B64" s="382" t="str">
        <f>IF(ISBLANK(AgeNew),"b",AgeNew)</f>
        <v>b</v>
      </c>
      <c r="C64" s="4"/>
    </row>
    <row r="65" spans="1:4" ht="12.75" customHeight="1">
      <c r="A65" s="369" t="s">
        <v>230</v>
      </c>
      <c r="B65" s="382" t="str">
        <f>IF(ISBLANK(AgeUsed),"b",AgeUsed)</f>
        <v>b</v>
      </c>
      <c r="C65" s="4"/>
    </row>
    <row r="66" spans="1:4" ht="12.75" customHeight="1">
      <c r="A66" s="369" t="s">
        <v>231</v>
      </c>
      <c r="B66" s="382" t="str">
        <f>IF(ISBLANK(AgeParts),"b",AgeParts)</f>
        <v>b</v>
      </c>
      <c r="C66" s="4"/>
    </row>
    <row r="67" spans="1:4" ht="12.75" customHeight="1">
      <c r="A67" s="231" t="s">
        <v>232</v>
      </c>
      <c r="B67" s="226" t="str">
        <f>IF(ISBLANK(AgeSH),"b",AgeSH)</f>
        <v>b</v>
      </c>
      <c r="C67" s="4"/>
    </row>
    <row r="68" spans="1:4" ht="12.75" customHeight="1">
      <c r="A68" s="231" t="s">
        <v>101</v>
      </c>
      <c r="B68" s="236">
        <f>IF(OR(LIFO="y",LIFO="yes"),1,0)</f>
        <v>0</v>
      </c>
      <c r="C68" s="7"/>
      <c r="D68" s="53"/>
    </row>
    <row r="69" spans="1:4" ht="12.75" customHeight="1">
      <c r="A69" s="231" t="s">
        <v>102</v>
      </c>
      <c r="B69" s="237">
        <f>IF(ISBLANK(Add),0,(Add))</f>
        <v>0</v>
      </c>
      <c r="C69" s="4"/>
      <c r="D69" s="54"/>
    </row>
    <row r="70" spans="1:4" ht="12.75" customHeight="1">
      <c r="A70" s="231" t="s">
        <v>103</v>
      </c>
      <c r="B70" s="237">
        <f>IF(ISBLANK(End),0,(End))</f>
        <v>0</v>
      </c>
      <c r="C70" s="4"/>
      <c r="D70" s="54"/>
    </row>
    <row r="71" spans="1:4" ht="12.75" customHeight="1">
      <c r="A71" s="4" t="s">
        <v>106</v>
      </c>
      <c r="B71" s="13" t="str">
        <f>IF(ISBLANK(Cash),"b",Cash)</f>
        <v>b</v>
      </c>
      <c r="C71" s="4"/>
    </row>
    <row r="72" spans="1:4" ht="12.75" customHeight="1">
      <c r="A72" s="4" t="s">
        <v>107</v>
      </c>
      <c r="B72" s="13" t="str">
        <f>IF(ISBLANK(AR),"b",AR)</f>
        <v>b</v>
      </c>
      <c r="C72" s="4"/>
    </row>
    <row r="73" spans="1:4" ht="12.75" customHeight="1">
      <c r="A73" s="4" t="s">
        <v>233</v>
      </c>
      <c r="B73" s="13" t="str">
        <f>IF(ISBLANK(NEWINV),"b",NEWINV)</f>
        <v>b</v>
      </c>
      <c r="C73" s="4"/>
    </row>
    <row r="74" spans="1:4" ht="12.75" customHeight="1">
      <c r="A74" s="4" t="s">
        <v>234</v>
      </c>
      <c r="B74" s="13" t="str">
        <f>IF(ISBLANK(USEDINV),"b",USEDINV)</f>
        <v>b</v>
      </c>
      <c r="C74" s="4"/>
    </row>
    <row r="75" spans="1:4" ht="12.75" customHeight="1">
      <c r="A75" s="4" t="s">
        <v>235</v>
      </c>
      <c r="B75" s="13" t="str">
        <f>IF(ISBLANK(PARTSINV),"b",PARTSINV)</f>
        <v>b</v>
      </c>
      <c r="C75" s="4"/>
    </row>
    <row r="76" spans="1:4" ht="12.75" customHeight="1">
      <c r="A76" s="4" t="s">
        <v>236</v>
      </c>
      <c r="B76" s="238" t="str">
        <f>IF(ISBLANK(OINV),"b",OINV)</f>
        <v>b</v>
      </c>
      <c r="C76" s="1"/>
    </row>
    <row r="77" spans="1:4" ht="12.75" customHeight="1">
      <c r="A77" s="4" t="s">
        <v>108</v>
      </c>
      <c r="B77" s="13" t="str">
        <f>IF(Inv&gt;0,Inv,"b")</f>
        <v>b</v>
      </c>
      <c r="C77" s="1"/>
    </row>
    <row r="78" spans="1:4" ht="12.75" customHeight="1">
      <c r="A78" s="4" t="s">
        <v>109</v>
      </c>
      <c r="B78" s="239" t="str">
        <f>IF((CA&gt;0),(Oca),"b")</f>
        <v>b</v>
      </c>
      <c r="C78" s="4"/>
    </row>
    <row r="79" spans="1:4" ht="12.75" customHeight="1">
      <c r="A79" s="1" t="s">
        <v>105</v>
      </c>
      <c r="B79" s="27" t="str">
        <f>IF(CA&lt;&gt;0,CA,"b")</f>
        <v>b</v>
      </c>
      <c r="C79" s="4"/>
    </row>
    <row r="80" spans="1:4" ht="12.75" customHeight="1">
      <c r="A80" s="231" t="s">
        <v>309</v>
      </c>
      <c r="B80" s="214" t="s">
        <v>311</v>
      </c>
      <c r="C80" s="4"/>
    </row>
    <row r="81" spans="1:3" ht="12.75" customHeight="1">
      <c r="A81" s="231" t="s">
        <v>310</v>
      </c>
      <c r="B81" s="214" t="s">
        <v>311</v>
      </c>
      <c r="C81" s="4"/>
    </row>
    <row r="82" spans="1:3" ht="12.75" customHeight="1">
      <c r="A82" s="4" t="s">
        <v>110</v>
      </c>
      <c r="B82" s="13" t="str">
        <f>IF(Fixed&lt;&gt;0,Fixed,"b")</f>
        <v>b</v>
      </c>
      <c r="C82" s="4"/>
    </row>
    <row r="83" spans="1:3" ht="12.75" customHeight="1">
      <c r="A83" s="4" t="s">
        <v>111</v>
      </c>
      <c r="B83" s="239" t="str">
        <f>IF((TA&gt;0),(OFA),"b")</f>
        <v>b</v>
      </c>
      <c r="C83" s="1"/>
    </row>
    <row r="84" spans="1:3" ht="12.75" customHeight="1">
      <c r="A84" s="1" t="s">
        <v>104</v>
      </c>
      <c r="B84" s="27" t="str">
        <f>IF(TA&lt;&gt;0,TA,"b")</f>
        <v>b</v>
      </c>
      <c r="C84" s="4"/>
    </row>
    <row r="85" spans="1:3" ht="12.75" customHeight="1">
      <c r="A85" s="4" t="s">
        <v>113</v>
      </c>
      <c r="B85" s="13" t="str">
        <f>IF(ISBLANK(AP),"b",AP)</f>
        <v>b</v>
      </c>
      <c r="C85" s="1"/>
    </row>
    <row r="86" spans="1:3" ht="12.75" customHeight="1">
      <c r="A86" s="4" t="s">
        <v>114</v>
      </c>
      <c r="B86" s="13" t="str">
        <f>IF(ISBLANK(NP),"b",NP)</f>
        <v>b</v>
      </c>
      <c r="C86" s="4"/>
    </row>
    <row r="87" spans="1:3" ht="12.75" customHeight="1">
      <c r="A87" s="4" t="s">
        <v>115</v>
      </c>
      <c r="B87" s="239" t="str">
        <f>IF((CL&gt;0),(Ocl),"b")</f>
        <v>b</v>
      </c>
      <c r="C87" s="4"/>
    </row>
    <row r="88" spans="1:3" ht="12.75" customHeight="1">
      <c r="A88" s="1" t="s">
        <v>112</v>
      </c>
      <c r="B88" s="27" t="str">
        <f>IF(CL&gt;0,CL,"b")</f>
        <v>b</v>
      </c>
      <c r="C88" s="4"/>
    </row>
    <row r="89" spans="1:3" ht="12.75" customHeight="1">
      <c r="A89" s="4" t="s">
        <v>116</v>
      </c>
      <c r="B89" s="13" t="str">
        <f>IF(ISBLANK(LTL),"b",LTL)</f>
        <v>b</v>
      </c>
      <c r="C89" s="4"/>
    </row>
    <row r="90" spans="1:3" ht="12.75" customHeight="1">
      <c r="A90" s="4" t="s">
        <v>117</v>
      </c>
      <c r="B90" s="239">
        <f>IF(ISBLANK(Loan),0,(Loan))</f>
        <v>0</v>
      </c>
      <c r="C90" s="204"/>
    </row>
    <row r="91" spans="1:3" ht="12.75" customHeight="1">
      <c r="A91" s="4" t="s">
        <v>118</v>
      </c>
      <c r="B91" s="13" t="str">
        <f>IF(Eqty&lt;&gt;TA,Eqty,"b")</f>
        <v>b</v>
      </c>
      <c r="C91" s="204"/>
    </row>
    <row r="92" spans="1:3" ht="12.75" customHeight="1">
      <c r="A92" s="1" t="s">
        <v>119</v>
      </c>
      <c r="B92" s="27" t="str">
        <f>IF(Liab&lt;&gt;0,Liab,"b")</f>
        <v>b</v>
      </c>
    </row>
    <row r="93" spans="1:3" ht="12.75" customHeight="1">
      <c r="A93" s="240" t="s">
        <v>344</v>
      </c>
      <c r="B93" s="241" t="str">
        <f>IF(Eqty&lt;&gt;0,Eqty+Loan,"b")</f>
        <v>b</v>
      </c>
    </row>
    <row r="94" spans="1:3" ht="12.75" customHeight="1">
      <c r="A94" s="233" t="s">
        <v>308</v>
      </c>
      <c r="B94" s="242"/>
    </row>
    <row r="95" spans="1:3" ht="12.75" customHeight="1">
      <c r="A95" s="1" t="s">
        <v>98</v>
      </c>
      <c r="B95" s="13" t="str">
        <f>IF(Prev="","b",IF(ISBLANK(Prev),"b",Prev))</f>
        <v>b</v>
      </c>
    </row>
    <row r="96" spans="1:3" ht="12.75" customHeight="1">
      <c r="A96" s="1" t="s">
        <v>120</v>
      </c>
      <c r="B96" s="27" t="str">
        <f>IF(ISBLANK(NS),"b",NS)</f>
        <v>b</v>
      </c>
    </row>
    <row r="97" spans="1:3" ht="12.75" customHeight="1">
      <c r="A97" s="4" t="s">
        <v>632</v>
      </c>
      <c r="B97" s="25">
        <f>COGS_New+COGS_Used+COGS_SH+COGS_ES</f>
        <v>0</v>
      </c>
      <c r="C97" s="4" t="s">
        <v>570</v>
      </c>
    </row>
    <row r="98" spans="1:3" ht="12.75" customHeight="1">
      <c r="A98" s="4" t="s">
        <v>631</v>
      </c>
      <c r="B98" s="25">
        <f>COGS_SVC</f>
        <v>0</v>
      </c>
    </row>
    <row r="99" spans="1:3" ht="12.75" customHeight="1">
      <c r="A99" s="4" t="s">
        <v>238</v>
      </c>
      <c r="B99" s="182" t="str">
        <f>IF(ISBLANK(COGS_Rent),"b",COGS_Rent)</f>
        <v>b</v>
      </c>
    </row>
    <row r="100" spans="1:3" ht="12.75" customHeight="1">
      <c r="A100" s="4" t="s">
        <v>239</v>
      </c>
      <c r="B100" s="312" t="str">
        <f>IFERROR(COGS-(Equip+TechWages+RentalCost),"b")</f>
        <v>b</v>
      </c>
    </row>
    <row r="101" spans="1:3" ht="12.75" customHeight="1">
      <c r="A101" s="1" t="s">
        <v>127</v>
      </c>
      <c r="B101" s="27" t="str">
        <f>IF(COGS&lt;&gt;0,COGS,"b")</f>
        <v>b</v>
      </c>
    </row>
    <row r="102" spans="1:3" ht="12.75" customHeight="1">
      <c r="A102" s="1" t="s">
        <v>128</v>
      </c>
      <c r="B102" s="239" t="str">
        <f>IF(AND(NS&gt;0,COGS&gt;0),GP,"b")</f>
        <v>b</v>
      </c>
    </row>
    <row r="103" spans="1:3" ht="12.75" customHeight="1">
      <c r="A103" s="369" t="s">
        <v>129</v>
      </c>
      <c r="B103" s="371" t="str">
        <f>IF(ISBLANK(PA_Exec),"b",PA_Exec)</f>
        <v>b</v>
      </c>
    </row>
    <row r="104" spans="1:3" ht="12.75" customHeight="1">
      <c r="A104" s="4" t="s">
        <v>130</v>
      </c>
      <c r="B104" s="13" t="str">
        <f>IF(ISBLANK(PA_Out),"b",PA_Out)</f>
        <v>b</v>
      </c>
    </row>
    <row r="105" spans="1:3" ht="12.75" customHeight="1">
      <c r="A105" s="369" t="s">
        <v>303</v>
      </c>
      <c r="B105" s="371" t="str">
        <f>IF(ISBLANK(PA_Inside),"b",PA_Inside)</f>
        <v>b</v>
      </c>
    </row>
    <row r="106" spans="1:3" ht="12.75" customHeight="1">
      <c r="A106" s="4" t="s">
        <v>275</v>
      </c>
      <c r="B106" s="13" t="str">
        <f>IF(ISBLANK(PA_Rental),"b",PA_Rental)</f>
        <v>b</v>
      </c>
    </row>
    <row r="107" spans="1:3" ht="12.75" customHeight="1">
      <c r="A107" s="4" t="s">
        <v>273</v>
      </c>
      <c r="B107" s="13" t="str">
        <f>IF(ISBLANK(PA_Parts),"b",PA_Parts)</f>
        <v>b</v>
      </c>
    </row>
    <row r="108" spans="1:3" ht="12.75" customHeight="1">
      <c r="A108" s="4" t="s">
        <v>305</v>
      </c>
      <c r="B108" s="13" t="str">
        <f>IF(ISBLANK(PA_SVC),"b",PA_SVC)</f>
        <v>b</v>
      </c>
      <c r="C108" s="59" t="s">
        <v>571</v>
      </c>
    </row>
    <row r="109" spans="1:3" ht="12.75" customHeight="1">
      <c r="A109" s="369" t="s">
        <v>337</v>
      </c>
      <c r="B109" s="372" t="str">
        <f>IF(ISBLANK(PA_WHS),"b",PA_WHS)</f>
        <v>b</v>
      </c>
    </row>
    <row r="110" spans="1:3" ht="12.75" customHeight="1">
      <c r="A110" s="4" t="s">
        <v>348</v>
      </c>
      <c r="B110" s="251">
        <f>IFERROR(IF(SAL-(PA_Exec+PA_Out+PA_Inside+PA_Rental+PA_Parts+PA_WHS+PA_SVC)&gt;0,SAL-((PA_Exec+PA_Out+PA_Inside+PA_Rental+PA_Parts+PA_WHS+PA_SVC)),0),"B")</f>
        <v>0</v>
      </c>
    </row>
    <row r="111" spans="1:3" ht="12.75" customHeight="1">
      <c r="A111" s="4" t="s">
        <v>321</v>
      </c>
      <c r="B111" s="13">
        <f>IF(ISBLANK(PA_OTH),"b",PA_OTH)</f>
        <v>0</v>
      </c>
    </row>
    <row r="112" spans="1:3" ht="12.75" customHeight="1">
      <c r="A112" s="231"/>
      <c r="B112" s="214" t="s">
        <v>311</v>
      </c>
    </row>
    <row r="113" spans="1:3" ht="12.75" customHeight="1">
      <c r="A113" s="231"/>
      <c r="B113" s="214" t="s">
        <v>311</v>
      </c>
    </row>
    <row r="114" spans="1:3" ht="12.75" customHeight="1">
      <c r="A114" s="231"/>
      <c r="B114" s="214" t="s">
        <v>311</v>
      </c>
    </row>
    <row r="115" spans="1:3" ht="12.75" customHeight="1">
      <c r="A115" s="369" t="s">
        <v>240</v>
      </c>
      <c r="B115" s="371" t="str">
        <f>IF(SAL&gt;0,SAL,"b")</f>
        <v>b</v>
      </c>
      <c r="C115" s="217"/>
    </row>
    <row r="116" spans="1:3" ht="12.75" customHeight="1">
      <c r="A116" s="369" t="s">
        <v>241</v>
      </c>
      <c r="B116" s="371" t="str">
        <f>IF(ISBLANK(PT),"b",PT)</f>
        <v>b</v>
      </c>
    </row>
    <row r="117" spans="1:3" ht="12.75" customHeight="1">
      <c r="A117" s="369" t="s">
        <v>243</v>
      </c>
      <c r="B117" s="371" t="str">
        <f>IF(ISBLANK(GRP_INS),"b",GRP_INS)</f>
        <v>b</v>
      </c>
    </row>
    <row r="118" spans="1:3" ht="12.75" customHeight="1">
      <c r="A118" s="369" t="s">
        <v>242</v>
      </c>
      <c r="B118" s="371" t="str">
        <f>IF(ISBLANK(BENE),"b",BENE)</f>
        <v>b</v>
      </c>
    </row>
    <row r="119" spans="1:3" ht="12.75" customHeight="1">
      <c r="A119" s="4" t="s">
        <v>131</v>
      </c>
      <c r="B119" s="13" t="str">
        <f>IF(PA&gt;0,PA,"b")</f>
        <v>b</v>
      </c>
    </row>
    <row r="120" spans="1:3" ht="12.75" customHeight="1">
      <c r="A120" s="369" t="s">
        <v>122</v>
      </c>
      <c r="B120" s="371" t="str">
        <f>IF(ISBLANK(UT),"b",UT)</f>
        <v>b</v>
      </c>
    </row>
    <row r="121" spans="1:3" ht="12.75" customHeight="1">
      <c r="A121" s="231" t="s">
        <v>316</v>
      </c>
      <c r="B121" s="231" t="s">
        <v>311</v>
      </c>
    </row>
    <row r="122" spans="1:3" ht="12.75" customHeight="1">
      <c r="A122" s="369" t="s">
        <v>121</v>
      </c>
      <c r="B122" s="371" t="str">
        <f>IF(ISBLANK(RM),"b",RM)</f>
        <v>b</v>
      </c>
    </row>
    <row r="123" spans="1:3" ht="12.75" customHeight="1">
      <c r="A123" s="369" t="s">
        <v>123</v>
      </c>
      <c r="B123" s="371" t="str">
        <f>IF(ISBLANK(Rent),"b",Rent)</f>
        <v>b</v>
      </c>
    </row>
    <row r="124" spans="1:3" ht="12.75" customHeight="1">
      <c r="A124" s="4" t="s">
        <v>244</v>
      </c>
      <c r="B124" s="13" t="str">
        <f>IF(OC&gt;0,OC,"b")</f>
        <v>b</v>
      </c>
    </row>
    <row r="125" spans="1:3" ht="12.75" customHeight="1">
      <c r="A125" s="369" t="s">
        <v>245</v>
      </c>
      <c r="B125" s="371" t="str">
        <f>IF(ISBLANK(VEH),"b",VEH)</f>
        <v>b</v>
      </c>
    </row>
    <row r="126" spans="1:3" ht="12.75" customHeight="1">
      <c r="A126" s="369" t="s">
        <v>125</v>
      </c>
      <c r="B126" s="371" t="str">
        <f>IF(ISBLANK(Ins),"b",Ins)</f>
        <v>b</v>
      </c>
    </row>
    <row r="127" spans="1:3" ht="12.75" customHeight="1">
      <c r="A127" s="4" t="s">
        <v>126</v>
      </c>
      <c r="B127" s="13" t="str">
        <f>IF(ISBLANK(DPR),"b",DPR)</f>
        <v>b</v>
      </c>
    </row>
    <row r="128" spans="1:3" ht="12.75" customHeight="1">
      <c r="A128" s="369" t="s">
        <v>246</v>
      </c>
      <c r="B128" s="371" t="str">
        <f>IF(ISBLANK(TRN),"b",TRN)</f>
        <v>b</v>
      </c>
    </row>
    <row r="129" spans="1:2" ht="12.75" customHeight="1">
      <c r="A129" s="369" t="s">
        <v>247</v>
      </c>
      <c r="B129" s="371" t="str">
        <f>IF(ISBLANK(MIS),"b",MIS)</f>
        <v>b</v>
      </c>
    </row>
    <row r="130" spans="1:2" ht="12.75" customHeight="1">
      <c r="A130" s="369" t="s">
        <v>132</v>
      </c>
      <c r="B130" s="371" t="str">
        <f>IF(ISBLANK(AD),"b",AD)</f>
        <v>b</v>
      </c>
    </row>
    <row r="131" spans="1:2" ht="12.75" customHeight="1">
      <c r="A131" s="231"/>
      <c r="B131" s="214" t="s">
        <v>311</v>
      </c>
    </row>
    <row r="132" spans="1:2" ht="12.75" customHeight="1">
      <c r="A132" s="231"/>
      <c r="B132" s="214" t="s">
        <v>311</v>
      </c>
    </row>
    <row r="133" spans="1:2" ht="12.75" customHeight="1">
      <c r="A133" s="231"/>
      <c r="B133" s="214" t="s">
        <v>311</v>
      </c>
    </row>
    <row r="134" spans="1:2" ht="12.75" customHeight="1">
      <c r="A134" s="369" t="s">
        <v>133</v>
      </c>
      <c r="B134" s="373" t="str">
        <f>IF((TE&gt;0),(OE),"b")</f>
        <v>b</v>
      </c>
    </row>
    <row r="135" spans="1:2" ht="12.75" customHeight="1">
      <c r="A135" s="4" t="s">
        <v>134</v>
      </c>
      <c r="B135" s="27" t="str">
        <f>IF(TOE&lt;&gt;0,TOE,"b")</f>
        <v>b</v>
      </c>
    </row>
    <row r="136" spans="1:2" ht="12.75" customHeight="1">
      <c r="A136" s="1" t="s">
        <v>135</v>
      </c>
      <c r="B136" s="27" t="str">
        <f>IF(TE&lt;&gt;0,TE,"b")</f>
        <v>b</v>
      </c>
    </row>
    <row r="137" spans="1:2" ht="12.75" customHeight="1">
      <c r="A137" s="1" t="s">
        <v>136</v>
      </c>
      <c r="B137" s="239" t="str">
        <f>IF(AND(GP&lt;&gt;0,TE&gt;0),OP,"b")</f>
        <v>b</v>
      </c>
    </row>
    <row r="138" spans="1:2" ht="12.75" customHeight="1">
      <c r="A138" s="4" t="s">
        <v>137</v>
      </c>
      <c r="B138" s="13" t="str">
        <f>IF(ISBLANK(OI),"b",OI)</f>
        <v>b</v>
      </c>
    </row>
    <row r="139" spans="1:2" ht="12.75" customHeight="1">
      <c r="A139" s="4" t="s">
        <v>138</v>
      </c>
      <c r="B139" s="13" t="str">
        <f>IF(ISBLANK(Int),"b",Int)</f>
        <v>b</v>
      </c>
    </row>
    <row r="140" spans="1:2" ht="12.75" customHeight="1">
      <c r="A140" s="4" t="s">
        <v>139</v>
      </c>
      <c r="B140" s="13" t="str">
        <f>IF(ISBLANK(Oex),"b",Oex)</f>
        <v>b</v>
      </c>
    </row>
    <row r="141" spans="1:2" ht="12.75" customHeight="1">
      <c r="A141" s="244" t="s">
        <v>345</v>
      </c>
      <c r="B141" s="214" t="s">
        <v>311</v>
      </c>
    </row>
    <row r="142" spans="1:2" ht="12.75" customHeight="1">
      <c r="A142" s="245" t="s">
        <v>346</v>
      </c>
      <c r="B142" s="214" t="s">
        <v>311</v>
      </c>
    </row>
    <row r="143" spans="1:2" ht="12.75" customHeight="1">
      <c r="A143" s="245" t="s">
        <v>347</v>
      </c>
      <c r="B143" s="214" t="s">
        <v>311</v>
      </c>
    </row>
    <row r="144" spans="1:2" ht="12.75" customHeight="1">
      <c r="A144" s="1" t="s">
        <v>140</v>
      </c>
      <c r="B144" s="239" t="str">
        <f>IF(AND(GP&lt;&gt;0,TE&gt;0),PBT,"b")</f>
        <v>b</v>
      </c>
    </row>
    <row r="145" spans="1:3" ht="12.75" customHeight="1">
      <c r="A145" s="4" t="s">
        <v>141</v>
      </c>
      <c r="B145" s="203" t="str">
        <f>IF(ISBLANK(Tax),"b",(Tax))</f>
        <v>b</v>
      </c>
    </row>
    <row r="146" spans="1:3" ht="12.75" customHeight="1">
      <c r="A146" s="1" t="s">
        <v>142</v>
      </c>
      <c r="B146" s="203" t="str">
        <f>IF(ISBLANK(Tax),"b",(Net))</f>
        <v>b</v>
      </c>
    </row>
    <row r="147" spans="1:3" ht="12.75" customHeight="1">
      <c r="A147" s="4" t="s">
        <v>210</v>
      </c>
      <c r="B147" s="61" t="str">
        <f>IF((NS_OTH&lt;&gt;NS),((NS_New+NS_Used+NS_Counter+NS_RENT)/NS*100),"b")</f>
        <v>b</v>
      </c>
    </row>
    <row r="148" spans="1:3" ht="12.75" customHeight="1">
      <c r="A148" s="4" t="s">
        <v>211</v>
      </c>
      <c r="B148" s="61" t="str">
        <f>IF(NS_OTH&lt;&gt;NS,NS_ES/NS*100,"b")</f>
        <v>b</v>
      </c>
    </row>
    <row r="149" spans="1:3" ht="12.75" customHeight="1">
      <c r="A149" s="4" t="s">
        <v>212</v>
      </c>
      <c r="B149" s="61" t="str">
        <f>IF(NS_OTH&lt;&gt;NS,NS_SH/NS*100,"b")</f>
        <v>b</v>
      </c>
    </row>
    <row r="150" spans="1:3" ht="12.75" customHeight="1">
      <c r="A150" s="4" t="s">
        <v>213</v>
      </c>
      <c r="B150" s="61" t="str">
        <f>IF((NS_OTH&lt;&gt;NS),100-(LTrucks+EngSys+SH),"b")</f>
        <v>b</v>
      </c>
      <c r="C150" s="182"/>
    </row>
    <row r="151" spans="1:3" ht="12.75" customHeight="1">
      <c r="A151" s="4" t="s">
        <v>248</v>
      </c>
      <c r="B151" s="182" t="str">
        <f>IF((NS_OTH&lt;&gt;NS),NS_New,"b")</f>
        <v>b</v>
      </c>
      <c r="C151" s="13"/>
    </row>
    <row r="152" spans="1:3" ht="12.75" customHeight="1">
      <c r="A152" s="4" t="s">
        <v>249</v>
      </c>
      <c r="B152" s="13" t="str">
        <f>IF((NS_OTH&lt;&gt;NS),NS_Used,"b")</f>
        <v>b</v>
      </c>
      <c r="C152" s="13"/>
    </row>
    <row r="153" spans="1:3" ht="12.75" customHeight="1">
      <c r="A153" s="4" t="s">
        <v>250</v>
      </c>
      <c r="B153" s="13" t="str">
        <f>IF((NS_OTH&lt;&gt;NS),NS_SH,"b")</f>
        <v>b</v>
      </c>
      <c r="C153" s="13"/>
    </row>
    <row r="154" spans="1:3" ht="12.75" customHeight="1">
      <c r="A154" s="4" t="s">
        <v>251</v>
      </c>
      <c r="B154" s="13" t="str">
        <f>IF((NS_OTH&lt;&gt;NS),NS_ES,"b")</f>
        <v>b</v>
      </c>
      <c r="C154" s="13"/>
    </row>
    <row r="155" spans="1:3" ht="12.75" customHeight="1">
      <c r="A155" s="4" t="s">
        <v>252</v>
      </c>
      <c r="B155" s="13" t="str">
        <f>IF((NS_OTH&lt;&gt;NS),NS_Counter,"b")</f>
        <v>b</v>
      </c>
      <c r="C155" s="13"/>
    </row>
    <row r="156" spans="1:3" ht="12.75" customHeight="1">
      <c r="A156" s="4" t="s">
        <v>253</v>
      </c>
      <c r="B156" s="13" t="str">
        <f>IF((NS_OTH&lt;&gt;NS),NS_SVC,"b")</f>
        <v>b</v>
      </c>
      <c r="C156" s="13"/>
    </row>
    <row r="157" spans="1:3" ht="12.75" customHeight="1">
      <c r="A157" s="4" t="s">
        <v>254</v>
      </c>
      <c r="B157" s="13" t="str">
        <f>IF((NS_OTH&lt;&gt;NS),NS_RENT,"b")</f>
        <v>b</v>
      </c>
    </row>
    <row r="158" spans="1:3" ht="12.75" customHeight="1">
      <c r="A158" s="231" t="s">
        <v>322</v>
      </c>
      <c r="B158" s="214" t="s">
        <v>311</v>
      </c>
      <c r="C158" s="4" t="s">
        <v>572</v>
      </c>
    </row>
    <row r="159" spans="1:3" ht="12.75" customHeight="1">
      <c r="A159" s="4" t="s">
        <v>255</v>
      </c>
      <c r="B159" s="13" t="str">
        <f>IF((NS_OTH&lt;&gt;NS),NS_OTH,"b")</f>
        <v>b</v>
      </c>
      <c r="C159" s="182"/>
    </row>
    <row r="160" spans="1:3" ht="12.75" customHeight="1">
      <c r="A160" s="4" t="s">
        <v>264</v>
      </c>
      <c r="B160" s="182" t="str">
        <f>IF((COGS_OTH&lt;&gt;COGS),COGS_New,"b")</f>
        <v>b</v>
      </c>
      <c r="C160" s="13"/>
    </row>
    <row r="161" spans="1:3" ht="12.75" customHeight="1">
      <c r="A161" s="4" t="s">
        <v>265</v>
      </c>
      <c r="B161" s="13" t="str">
        <f>IF((COGS_OTH&lt;&gt;COGS),COGS_Used,"b")</f>
        <v>b</v>
      </c>
      <c r="C161" s="13"/>
    </row>
    <row r="162" spans="1:3" ht="12.75" customHeight="1">
      <c r="A162" s="4" t="s">
        <v>266</v>
      </c>
      <c r="B162" s="13" t="str">
        <f>IF((COGS_OTH&lt;&gt;COGS),COGS_SH,"b")</f>
        <v>b</v>
      </c>
      <c r="C162" s="13"/>
    </row>
    <row r="163" spans="1:3" ht="12.75" customHeight="1">
      <c r="A163" s="4" t="s">
        <v>267</v>
      </c>
      <c r="B163" s="13" t="str">
        <f>IF((COGS_OTH&lt;&gt;COGS),COGS_ES,"b")</f>
        <v>b</v>
      </c>
      <c r="C163" s="13"/>
    </row>
    <row r="164" spans="1:3" ht="12.75" customHeight="1">
      <c r="A164" s="4" t="s">
        <v>268</v>
      </c>
      <c r="B164" s="13" t="str">
        <f>IF((COGS_OTH&lt;&gt;COGS),COGS_Counter,"b")</f>
        <v>b</v>
      </c>
      <c r="C164" s="13"/>
    </row>
    <row r="165" spans="1:3" ht="12.75" customHeight="1">
      <c r="A165" s="4" t="s">
        <v>269</v>
      </c>
      <c r="B165" s="13" t="str">
        <f>IF((COGS_OTH&lt;&gt;COGS),COGS_SVC,"b")</f>
        <v>b</v>
      </c>
      <c r="C165" s="13"/>
    </row>
    <row r="166" spans="1:3" ht="12.75" customHeight="1">
      <c r="A166" s="4" t="s">
        <v>270</v>
      </c>
      <c r="B166" s="13" t="str">
        <f>IF((COGS_OTH&lt;&gt;COGS),COGS_Rent,"b")</f>
        <v>b</v>
      </c>
    </row>
    <row r="167" spans="1:3" ht="12.75" customHeight="1">
      <c r="A167" s="231" t="s">
        <v>323</v>
      </c>
      <c r="B167" s="214" t="s">
        <v>311</v>
      </c>
    </row>
    <row r="168" spans="1:3" ht="12.75" customHeight="1">
      <c r="A168" s="4" t="s">
        <v>271</v>
      </c>
      <c r="B168" s="13" t="str">
        <f>IF((COGS_OTH&lt;&gt;COGS),COGS_OTH,"b")</f>
        <v>b</v>
      </c>
    </row>
    <row r="169" spans="1:3" ht="12.75" customHeight="1">
      <c r="A169" s="204" t="s">
        <v>256</v>
      </c>
      <c r="B169" s="246" t="str">
        <f>IF(AND(NS_New&gt;0,COGS_New&gt;0),NS_New-COGS_New,"b")</f>
        <v>b</v>
      </c>
    </row>
    <row r="170" spans="1:3" ht="12.75" customHeight="1">
      <c r="A170" s="204" t="s">
        <v>257</v>
      </c>
      <c r="B170" s="247" t="str">
        <f>IF(AND(NS_Used&gt;0,COGS_Used),NS_Used-COGS_Used,"b")</f>
        <v>b</v>
      </c>
    </row>
    <row r="171" spans="1:3" ht="12.75" customHeight="1">
      <c r="A171" s="204" t="s">
        <v>258</v>
      </c>
      <c r="B171" s="247" t="str">
        <f>IF(AND(NS_SH&gt;0,COGS_SH),NS_SH-COGS_SH,"b")</f>
        <v>b</v>
      </c>
    </row>
    <row r="172" spans="1:3" ht="12.75" customHeight="1">
      <c r="A172" s="204" t="s">
        <v>259</v>
      </c>
      <c r="B172" s="247" t="str">
        <f>IF(AND(NS_ES&gt;0,COGS_ES&gt;0),NS_ES-COGS_ES,"b")</f>
        <v>b</v>
      </c>
    </row>
    <row r="173" spans="1:3" ht="12.75" customHeight="1">
      <c r="A173" s="204" t="s">
        <v>260</v>
      </c>
      <c r="B173" s="247" t="str">
        <f>IF(AND(NS_Counter&gt;0,COGS_Counter&gt;0),NS_Counter-COGS_Counter,"b")</f>
        <v>b</v>
      </c>
    </row>
    <row r="174" spans="1:3" ht="12.75" customHeight="1">
      <c r="A174" s="204" t="s">
        <v>261</v>
      </c>
      <c r="B174" s="247" t="str">
        <f>IF(AND(NS_SVC&gt;0,COGS_SVC&gt;0),NS_SVC-COGS_SVC,"b")</f>
        <v>b</v>
      </c>
    </row>
    <row r="175" spans="1:3" ht="12.75" customHeight="1">
      <c r="A175" s="204" t="s">
        <v>262</v>
      </c>
      <c r="B175" s="247" t="str">
        <f>IF(AND(NS_RENT&gt;0,COGS_Rent&gt;0),NS_RENT-COGS_Rent,"b")</f>
        <v>b</v>
      </c>
    </row>
    <row r="176" spans="1:3" ht="12.75" customHeight="1">
      <c r="A176" s="248" t="s">
        <v>324</v>
      </c>
      <c r="B176" s="249" t="s">
        <v>311</v>
      </c>
    </row>
    <row r="177" spans="1:9" ht="12.75" customHeight="1">
      <c r="A177" s="204" t="s">
        <v>263</v>
      </c>
      <c r="B177" s="247" t="str">
        <f>IF(AND(NS_OTH&gt;0,COGS_OTH&gt;0),NS_OTH-COGS_OTH,"b")</f>
        <v>b</v>
      </c>
    </row>
    <row r="178" spans="1:9" ht="12.75" customHeight="1">
      <c r="A178" s="4" t="s">
        <v>312</v>
      </c>
      <c r="B178" s="250" t="str">
        <f>IFERROR(PT/SAL,"b")</f>
        <v>b</v>
      </c>
    </row>
    <row r="179" spans="1:9" ht="12.75" customHeight="1">
      <c r="A179" s="4" t="s">
        <v>313</v>
      </c>
      <c r="B179" s="250" t="str">
        <f>IFERROR(GRP_INS/SAL,"b")</f>
        <v>b</v>
      </c>
    </row>
    <row r="180" spans="1:9" ht="12.75" customHeight="1">
      <c r="A180" s="4" t="s">
        <v>314</v>
      </c>
      <c r="B180" s="250" t="str">
        <f>IFERROR(BENE/SAL,"b")</f>
        <v>b</v>
      </c>
    </row>
    <row r="181" spans="1:9" ht="12.75" customHeight="1">
      <c r="A181" s="4" t="s">
        <v>315</v>
      </c>
      <c r="B181" s="250">
        <f>IFERROR(PT_Pct+Grp_Pct+BENE_Pct,0)</f>
        <v>0</v>
      </c>
    </row>
    <row r="182" spans="1:9" ht="12.75" customHeight="1">
      <c r="A182" s="4" t="s">
        <v>272</v>
      </c>
      <c r="B182" s="182" t="str">
        <f>IF((PA_Out&gt;0),(PA_Out+PA_Inside)*(1+Burden_Pct),"b")</f>
        <v>b</v>
      </c>
      <c r="C182" s="13"/>
      <c r="D182" s="374"/>
      <c r="E182" s="13"/>
    </row>
    <row r="183" spans="1:9" ht="12.75" customHeight="1">
      <c r="A183" s="4" t="s">
        <v>273</v>
      </c>
      <c r="B183" s="13" t="str">
        <f>IF(ISBLANK(PA_Parts),"b",(PA_Parts)*(1+Burden_Pct))</f>
        <v>b</v>
      </c>
    </row>
    <row r="184" spans="1:9" ht="12.75" customHeight="1">
      <c r="A184" s="4" t="s">
        <v>274</v>
      </c>
      <c r="B184" s="13" t="str">
        <f>IF(ISBLANK(PA_SVC),"b",PA_SVC*(1+Burden_Pct))</f>
        <v>b</v>
      </c>
    </row>
    <row r="185" spans="1:9" ht="12.75" customHeight="1">
      <c r="A185" s="4" t="s">
        <v>275</v>
      </c>
      <c r="B185" s="13" t="str">
        <f>IF(ISBLANK(PA_Rental),"b",PA_Rental*(1+Burden_Pct))</f>
        <v>b</v>
      </c>
      <c r="G185" s="1"/>
    </row>
    <row r="186" spans="1:9" ht="12.75" customHeight="1">
      <c r="A186" s="4" t="s">
        <v>276</v>
      </c>
      <c r="B186" s="13" t="str">
        <f>IF(((PA_Exec+PA_OTH)&gt;0),(PA_Exec+PA_WHS+PA_OTH)*(1+Burden_Pct),"b")</f>
        <v>b</v>
      </c>
      <c r="C186" s="182"/>
      <c r="G186" s="1"/>
    </row>
    <row r="187" spans="1:9" ht="12.75" customHeight="1">
      <c r="A187" s="4" t="s">
        <v>282</v>
      </c>
      <c r="B187" s="311" t="str">
        <f>IF(AND(NS_EQ&gt;0,OC&gt;0),OC*(NS_EQ/NS),"b")</f>
        <v>b</v>
      </c>
      <c r="E187" s="13"/>
      <c r="F187" s="4"/>
      <c r="G187" s="179"/>
      <c r="H187" s="310"/>
      <c r="I187" s="310"/>
    </row>
    <row r="188" spans="1:9" ht="12.75" customHeight="1">
      <c r="A188" s="4" t="s">
        <v>286</v>
      </c>
      <c r="B188" s="311" t="str">
        <f>IF(AND(NS_Counter&gt;0,OC&gt;0),OC*(NS_Counter/NS),"b")</f>
        <v>b</v>
      </c>
      <c r="E188" s="13"/>
      <c r="F188" s="4"/>
      <c r="G188" s="179"/>
      <c r="H188" s="310"/>
      <c r="I188" s="310"/>
    </row>
    <row r="189" spans="1:9" ht="12.75" customHeight="1">
      <c r="A189" s="4" t="s">
        <v>283</v>
      </c>
      <c r="B189" s="311" t="str">
        <f>IF(AND(NS_SVC&gt;0,OC&gt;0),OC*(NS_SVC/NS),"b")</f>
        <v>b</v>
      </c>
      <c r="E189" s="13"/>
      <c r="F189" s="4"/>
      <c r="G189" s="179"/>
      <c r="H189" s="310"/>
      <c r="I189" s="310"/>
    </row>
    <row r="190" spans="1:9" ht="12.75" customHeight="1">
      <c r="A190" s="4" t="s">
        <v>284</v>
      </c>
      <c r="B190" s="311" t="str">
        <f>IF(AND(NS_RENT&gt;0,OC&gt;0),OC*(NS_RENT/NS),"b")</f>
        <v>b</v>
      </c>
      <c r="E190" s="295"/>
      <c r="F190" s="342"/>
      <c r="G190" s="179"/>
      <c r="H190" s="310"/>
      <c r="I190" s="310"/>
    </row>
    <row r="191" spans="1:9" ht="12.75" customHeight="1">
      <c r="A191" s="4" t="s">
        <v>285</v>
      </c>
      <c r="B191" s="311" t="str">
        <f>IFERROR(OC-(OC_Sales+OC_Parts+OC_SVC+OC_Rental),"B")</f>
        <v>B</v>
      </c>
      <c r="E191" s="13"/>
      <c r="F191" s="343"/>
      <c r="G191" s="179"/>
      <c r="H191" s="311"/>
      <c r="I191" s="311"/>
    </row>
    <row r="192" spans="1:9" ht="12.75" customHeight="1">
      <c r="A192" s="4" t="s">
        <v>277</v>
      </c>
      <c r="B192" s="311" t="str">
        <f>IF(AND(NS_EQ&gt;0,TOE&gt;0),TOE*(NS_EQ/NS),"b")</f>
        <v>b</v>
      </c>
      <c r="E192" s="4"/>
      <c r="F192" s="4"/>
    </row>
    <row r="193" spans="1:5" ht="12.75" customHeight="1">
      <c r="A193" s="4" t="s">
        <v>281</v>
      </c>
      <c r="B193" s="311" t="str">
        <f>IF(AND(NS_Counter&gt;0,TOE&gt;0),TOE*(NS_Counter/NS),"b")</f>
        <v>b</v>
      </c>
      <c r="E193" s="4"/>
    </row>
    <row r="194" spans="1:5" ht="12.75" customHeight="1">
      <c r="A194" s="4" t="s">
        <v>278</v>
      </c>
      <c r="B194" s="311" t="str">
        <f>IF(AND(NS_SVC&gt;0,TOE&gt;0),TOE*(NS_SVC/NS),"b")</f>
        <v>b</v>
      </c>
      <c r="E194" s="4"/>
    </row>
    <row r="195" spans="1:5" ht="12.75" customHeight="1">
      <c r="A195" s="4" t="s">
        <v>279</v>
      </c>
      <c r="B195" s="311" t="str">
        <f>IF(AND(NS_RENT&gt;0,TOE&gt;0),TOE*(NS_RENT/NS),"b")</f>
        <v>b</v>
      </c>
      <c r="E195" s="4"/>
    </row>
    <row r="196" spans="1:5">
      <c r="A196" s="4" t="s">
        <v>280</v>
      </c>
      <c r="B196" s="311" t="str">
        <f>IFERROR(TOE-(OE_Sales+OE_Parts+OE_SVC+OE_Rental),"B")</f>
        <v>B</v>
      </c>
      <c r="E196" s="4"/>
    </row>
    <row r="197" spans="1:5">
      <c r="A197" s="1" t="s">
        <v>349</v>
      </c>
      <c r="B197" s="251" t="str">
        <f>IFERROR(IF(NS&gt;0,(NS_New+NS_Used+NS_SH+NS_ES+NS_Counter)*(100-DROP)/100,"B"),"b")</f>
        <v>B</v>
      </c>
      <c r="E197" s="4"/>
    </row>
    <row r="198" spans="1:5">
      <c r="A198" s="1" t="s">
        <v>350</v>
      </c>
      <c r="B198" s="251" t="str">
        <f>IFERROR(IF(COGS&gt;0,(COGS_New+COGS_Used+COGS_SH+COGS_ES+COGS_Counter)*(100-DROP)/100,"B"),"b")</f>
        <v>B</v>
      </c>
      <c r="E198" s="4"/>
    </row>
    <row r="199" spans="1:5">
      <c r="A199" s="1" t="s">
        <v>351</v>
      </c>
      <c r="B199" s="251" t="str">
        <f>IFERROR(WHSNS-WHSCOGS,"B")</f>
        <v>B</v>
      </c>
    </row>
    <row r="200" spans="1:5">
      <c r="A200" s="252" t="s">
        <v>352</v>
      </c>
    </row>
    <row r="201" spans="1:5" ht="15.3">
      <c r="A201" s="253" t="s">
        <v>353</v>
      </c>
    </row>
    <row r="202" spans="1:5" ht="15.3">
      <c r="A202" s="254" t="s">
        <v>354</v>
      </c>
      <c r="B202" s="313" t="str">
        <f>IFERROR(IF(Inv&gt;0,Inv+End,"b"),"B")</f>
        <v>b</v>
      </c>
    </row>
    <row r="203" spans="1:5" ht="15.3">
      <c r="A203" s="254" t="s">
        <v>355</v>
      </c>
      <c r="B203" s="313" t="str">
        <f>IFERROR(IF(Inv&gt;0,Inv+End,"b"),"B")</f>
        <v>b</v>
      </c>
    </row>
    <row r="204" spans="1:5" ht="15.3">
      <c r="A204" s="254" t="s">
        <v>356</v>
      </c>
      <c r="B204" s="313" t="str">
        <f>IFERROR(IF(CA&gt;0,CA+End,"b"),"B")</f>
        <v>b</v>
      </c>
    </row>
    <row r="205" spans="1:5" ht="15.3">
      <c r="A205" s="254" t="s">
        <v>357</v>
      </c>
      <c r="B205" s="313" t="str">
        <f>IFERROR(IF(TA&gt;0,TA+End,"b"),"B")</f>
        <v>b</v>
      </c>
    </row>
    <row r="206" spans="1:5" ht="15.3">
      <c r="A206" s="254" t="s">
        <v>358</v>
      </c>
      <c r="B206" s="313" t="str">
        <f>IFERROR(IF(Eqty&lt;&gt;0,Loan+Eqty+End,"b"),"B")</f>
        <v>b</v>
      </c>
    </row>
    <row r="207" spans="1:5" ht="15.3">
      <c r="A207" s="254" t="s">
        <v>359</v>
      </c>
      <c r="B207" s="313" t="str">
        <f>IFERROR(IF(COGS&gt;0,COGS-Add,"b"),"B")</f>
        <v>b</v>
      </c>
    </row>
    <row r="208" spans="1:5" ht="15.3">
      <c r="A208" s="254" t="s">
        <v>360</v>
      </c>
      <c r="B208" s="313" t="str">
        <f>IFERROR(IF(AND(NS&gt;0,COGS&gt;0),GP+Add,"b"),"B")</f>
        <v>b</v>
      </c>
    </row>
    <row r="209" spans="1:2" ht="15.3">
      <c r="A209" s="254" t="s">
        <v>361</v>
      </c>
      <c r="B209" s="313" t="str">
        <f>IFERROR(IF(AND(GP&lt;&gt;0,TE&gt;0),OP+Add,"b"),"B")</f>
        <v>b</v>
      </c>
    </row>
    <row r="210" spans="1:2" ht="15.3">
      <c r="A210" s="254" t="s">
        <v>362</v>
      </c>
      <c r="B210" s="313" t="str">
        <f>IFERROR(IF(AND(GP&lt;&gt;0,TE&gt;0),PBT+Add,"b"),"B")</f>
        <v>b</v>
      </c>
    </row>
    <row r="211" spans="1:2" ht="15.3">
      <c r="A211" s="254" t="s">
        <v>363</v>
      </c>
      <c r="B211" s="251" t="str">
        <f>IFERROR(IF(ISBLANK(Tax),"b",(Net+Add)),"B")</f>
        <v>b</v>
      </c>
    </row>
    <row r="212" spans="1:2">
      <c r="A212" s="307" t="s">
        <v>568</v>
      </c>
      <c r="B212" s="308">
        <v>0</v>
      </c>
    </row>
    <row r="213" spans="1:2">
      <c r="A213" s="309" t="s">
        <v>569</v>
      </c>
      <c r="B213" s="307">
        <v>0</v>
      </c>
    </row>
    <row r="214" spans="1:2">
      <c r="A214" s="4" t="s">
        <v>364</v>
      </c>
      <c r="B214" s="255" t="str">
        <f>IFERROR((NS-Prev)/Prev,"B")</f>
        <v>B</v>
      </c>
    </row>
    <row r="215" spans="1:2">
      <c r="A215" s="4" t="s">
        <v>365</v>
      </c>
      <c r="B215" s="314" t="str">
        <f>IFERROR(PBT_2/NS,"B")</f>
        <v>B</v>
      </c>
    </row>
    <row r="216" spans="1:2">
      <c r="A216" s="4" t="s">
        <v>366</v>
      </c>
      <c r="B216" s="256" t="str">
        <f>IFERROR(NS/TA_2,"B")</f>
        <v>B</v>
      </c>
    </row>
    <row r="217" spans="1:2">
      <c r="A217" s="4" t="s">
        <v>367</v>
      </c>
      <c r="B217" s="255" t="str">
        <f>IFERROR(PBT_2/TA_2,"B")</f>
        <v>B</v>
      </c>
    </row>
    <row r="218" spans="1:2">
      <c r="A218" s="4" t="s">
        <v>368</v>
      </c>
      <c r="B218" s="256" t="str">
        <f>IFERROR(TA_2/NW_2,"B")</f>
        <v>B</v>
      </c>
    </row>
    <row r="219" spans="1:2">
      <c r="A219" s="4" t="s">
        <v>369</v>
      </c>
      <c r="B219" s="255" t="str">
        <f>IFERROR(PBT_2/NW_2,"B")</f>
        <v>B</v>
      </c>
    </row>
    <row r="220" spans="1:2">
      <c r="A220" s="4"/>
    </row>
    <row r="221" spans="1:2">
      <c r="A221" s="4" t="s">
        <v>370</v>
      </c>
      <c r="B221" s="264" t="str">
        <f>IFERROR(CA_2/CL,"B")</f>
        <v>B</v>
      </c>
    </row>
    <row r="222" spans="1:2">
      <c r="A222" s="4" t="s">
        <v>371</v>
      </c>
      <c r="B222" s="264" t="str">
        <f>IFERROR((Cash+AR)/CL,"B")</f>
        <v>B</v>
      </c>
    </row>
    <row r="223" spans="1:2">
      <c r="A223" s="4" t="s">
        <v>372</v>
      </c>
      <c r="B223" s="255" t="str">
        <f>IFERROR(Cash/CL,"B")</f>
        <v>B</v>
      </c>
    </row>
    <row r="224" spans="1:2">
      <c r="A224" s="4" t="s">
        <v>373</v>
      </c>
      <c r="B224" s="255" t="str">
        <f>IFERROR(AP/INV_2,"B")</f>
        <v>B</v>
      </c>
    </row>
    <row r="225" spans="1:2">
      <c r="A225" s="1" t="s">
        <v>374</v>
      </c>
      <c r="B225" s="315" t="str">
        <f>IFERROR(((AAP)/(COGS_2/365)),"B")</f>
        <v>B</v>
      </c>
    </row>
    <row r="226" spans="1:2">
      <c r="A226" s="4" t="s">
        <v>375</v>
      </c>
      <c r="B226" s="264" t="str">
        <f>IFERROR((TA_2-NW_2)/NW_2,"B")</f>
        <v>B</v>
      </c>
    </row>
    <row r="227" spans="1:2">
      <c r="A227" s="4" t="s">
        <v>376</v>
      </c>
      <c r="B227" s="255" t="str">
        <f>IFERROR((PBT_2+Int)/NS,"B")</f>
        <v>B</v>
      </c>
    </row>
    <row r="228" spans="1:2">
      <c r="A228" s="1" t="s">
        <v>377</v>
      </c>
      <c r="B228" s="255" t="str">
        <f>IFERROR((PBT_2+Int)/TA_2,"B")</f>
        <v>B</v>
      </c>
    </row>
    <row r="229" spans="1:2">
      <c r="A229" s="4" t="s">
        <v>378</v>
      </c>
      <c r="B229" s="264" t="str">
        <f>IFERROR((PBT_2+Int)/Int,"B")</f>
        <v>B</v>
      </c>
    </row>
    <row r="230" spans="1:2">
      <c r="A230" s="4"/>
      <c r="B230" s="4"/>
    </row>
    <row r="231" spans="1:2">
      <c r="A231" s="4" t="s">
        <v>379</v>
      </c>
      <c r="B231" s="264" t="str">
        <f>IFERROR((AAR/((NS*(100-CSH)/100)/365)),"B")</f>
        <v>B</v>
      </c>
    </row>
    <row r="232" spans="1:2">
      <c r="A232" s="4" t="s">
        <v>380</v>
      </c>
      <c r="B232" s="315" t="str">
        <f>IFERROR(WHSCOGS/AVG_2,"B")</f>
        <v>B</v>
      </c>
    </row>
    <row r="233" spans="1:2">
      <c r="A233" s="4" t="s">
        <v>381</v>
      </c>
      <c r="B233" s="264" t="str">
        <f>IFERROR(365/(WHSCOGS/AVG_2),"B")</f>
        <v>B</v>
      </c>
    </row>
    <row r="234" spans="1:2">
      <c r="A234" s="4" t="s">
        <v>382</v>
      </c>
      <c r="B234" s="315" t="str">
        <f>IFERROR(WHSNS/AVG_2,"B")</f>
        <v>B</v>
      </c>
    </row>
    <row r="235" spans="1:2">
      <c r="A235" s="1" t="s">
        <v>383</v>
      </c>
      <c r="B235" s="316" t="str">
        <f>IFERROR((WHSGP)/AVG_2,"B")</f>
        <v>B</v>
      </c>
    </row>
    <row r="236" spans="1:2">
      <c r="A236" s="4" t="s">
        <v>384</v>
      </c>
      <c r="B236" s="264" t="str">
        <f>IFERROR(NS/OFA,"B")</f>
        <v>B</v>
      </c>
    </row>
    <row r="237" spans="1:2">
      <c r="A237" s="4"/>
      <c r="B237" s="4"/>
    </row>
    <row r="238" spans="1:2">
      <c r="A238" s="4" t="s">
        <v>385</v>
      </c>
      <c r="B238" s="255" t="str">
        <f>IFERROR(IF(Net&lt;&gt;"b",Net/(AAR+AVG_2-AAP),PBT/(AAR+AVG_2-AAP)),"B")</f>
        <v>B</v>
      </c>
    </row>
    <row r="239" spans="1:2">
      <c r="A239" s="4" t="s">
        <v>386</v>
      </c>
      <c r="B239" s="255" t="str">
        <f>IFERROR(Cash/CL,"B")</f>
        <v>B</v>
      </c>
    </row>
    <row r="240" spans="1:2">
      <c r="A240" s="4" t="s">
        <v>387</v>
      </c>
      <c r="B240" s="264" t="str">
        <f>IFERROR(Cash/((TE-DPR)/365),"B")</f>
        <v>B</v>
      </c>
    </row>
    <row r="241" spans="1:3">
      <c r="A241" s="4" t="s">
        <v>388</v>
      </c>
      <c r="B241" s="264" t="str">
        <f>IFERROR(NS/(CA_2-CL),"B")</f>
        <v>B</v>
      </c>
    </row>
    <row r="242" spans="1:3">
      <c r="A242" s="4"/>
      <c r="B242" s="4"/>
    </row>
    <row r="243" spans="1:3">
      <c r="A243" s="72" t="s">
        <v>389</v>
      </c>
      <c r="B243" s="4"/>
    </row>
    <row r="244" spans="1:3">
      <c r="A244" s="4" t="s">
        <v>390</v>
      </c>
      <c r="B244" s="4"/>
    </row>
    <row r="245" spans="1:3">
      <c r="A245" s="4" t="s">
        <v>391</v>
      </c>
      <c r="B245" s="251" t="str">
        <f>IFERROR(NS/Emp,"B")</f>
        <v>B</v>
      </c>
    </row>
    <row r="246" spans="1:3">
      <c r="A246" s="4" t="s">
        <v>392</v>
      </c>
      <c r="B246" s="251" t="str">
        <f>IFERROR(GP_2/Emp,"B")</f>
        <v>B</v>
      </c>
    </row>
    <row r="247" spans="1:3">
      <c r="A247" s="369" t="s">
        <v>393</v>
      </c>
      <c r="B247" s="375" t="str">
        <f>IFERROR((SAL+PA_Tech)/Emp,"B")</f>
        <v>B</v>
      </c>
      <c r="C247" s="1" t="s">
        <v>633</v>
      </c>
    </row>
    <row r="248" spans="1:3">
      <c r="A248" s="4" t="s">
        <v>394</v>
      </c>
      <c r="B248" s="251" t="str">
        <f>IFERROR((PA+PA_Tech)/Emp,"B")</f>
        <v>B</v>
      </c>
    </row>
    <row r="249" spans="1:3">
      <c r="A249" s="4" t="s">
        <v>395</v>
      </c>
      <c r="B249" s="255" t="str">
        <f>IFERROR(PA/NS,"B")</f>
        <v>B</v>
      </c>
    </row>
    <row r="250" spans="1:3">
      <c r="A250" s="4" t="s">
        <v>396</v>
      </c>
      <c r="B250" s="317" t="str">
        <f>IFERROR(IF(PA&lt;&gt;"b",(PA/GP*100),"B"),"B")</f>
        <v>B</v>
      </c>
    </row>
    <row r="251" spans="1:3">
      <c r="A251" s="258" t="s">
        <v>308</v>
      </c>
    </row>
    <row r="252" spans="1:3">
      <c r="A252" s="1" t="s">
        <v>120</v>
      </c>
      <c r="B252" s="256" t="str">
        <f>IFERROR(NS/NS*100,"B")</f>
        <v>B</v>
      </c>
    </row>
    <row r="253" spans="1:3">
      <c r="A253" s="259" t="s">
        <v>124</v>
      </c>
      <c r="B253" s="260" t="str">
        <f>IFERROR(Equip/NS*100,"B")</f>
        <v>B</v>
      </c>
    </row>
    <row r="254" spans="1:3">
      <c r="A254" s="259" t="s">
        <v>237</v>
      </c>
      <c r="B254" s="260" t="str">
        <f>IFERROR(TechWages/NS*100,"B")</f>
        <v>B</v>
      </c>
    </row>
    <row r="255" spans="1:3">
      <c r="A255" s="259" t="s">
        <v>238</v>
      </c>
      <c r="B255" s="260" t="str">
        <f>IFERROR(RentalCost/NS*100,"B")</f>
        <v>B</v>
      </c>
    </row>
    <row r="256" spans="1:3">
      <c r="A256" s="259" t="s">
        <v>239</v>
      </c>
      <c r="B256" s="260" t="str">
        <f>IFERROR(OCOGS/NS*100,"B")</f>
        <v>B</v>
      </c>
    </row>
    <row r="257" spans="1:2">
      <c r="A257" s="1" t="s">
        <v>127</v>
      </c>
      <c r="B257" s="256" t="str">
        <f>IFERROR(COGS_2/NS*100,"B")</f>
        <v>B</v>
      </c>
    </row>
    <row r="258" spans="1:2">
      <c r="A258" s="1" t="s">
        <v>128</v>
      </c>
      <c r="B258" s="256" t="str">
        <f>IFERROR(GP_2/NS*100,"B")</f>
        <v>B</v>
      </c>
    </row>
    <row r="259" spans="1:2">
      <c r="A259" s="369" t="s">
        <v>327</v>
      </c>
      <c r="B259" s="376" t="str">
        <f>IFERROR(PA_Exec/NS*100,"B")</f>
        <v>B</v>
      </c>
    </row>
    <row r="260" spans="1:2">
      <c r="A260" s="4" t="s">
        <v>397</v>
      </c>
      <c r="B260" s="256" t="str">
        <f>IFERROR(PA_Out/NS*100,"B")</f>
        <v>B</v>
      </c>
    </row>
    <row r="261" spans="1:2">
      <c r="A261" s="369" t="s">
        <v>329</v>
      </c>
      <c r="B261" s="377" t="str">
        <f>IFERROR(PA_Inside/NS*100,"B")</f>
        <v>B</v>
      </c>
    </row>
    <row r="262" spans="1:2">
      <c r="A262" s="4" t="s">
        <v>275</v>
      </c>
      <c r="B262" s="256" t="str">
        <f>IFERROR(PA_Rental/NS*100,"B")</f>
        <v>B</v>
      </c>
    </row>
    <row r="263" spans="1:2">
      <c r="A263" s="4" t="s">
        <v>273</v>
      </c>
      <c r="B263" s="256" t="str">
        <f>IFERROR(PA_Parts/NS*100,"B")</f>
        <v>B</v>
      </c>
    </row>
    <row r="264" spans="1:2">
      <c r="A264" s="4" t="s">
        <v>305</v>
      </c>
      <c r="B264" s="256" t="str">
        <f>IFERROR(PA_SVC/NS*100,"B")</f>
        <v>B</v>
      </c>
    </row>
    <row r="265" spans="1:2">
      <c r="A265" s="369" t="s">
        <v>337</v>
      </c>
      <c r="B265" s="377" t="str">
        <f>IFERROR(PA_WHS/NS*100,"B")</f>
        <v>B</v>
      </c>
    </row>
    <row r="266" spans="1:2">
      <c r="A266" s="243" t="s">
        <v>348</v>
      </c>
      <c r="B266" s="261" t="str">
        <f>IFERROR(PA_Adjust/NS*100,"B")</f>
        <v>B</v>
      </c>
    </row>
    <row r="267" spans="1:2">
      <c r="A267" s="231"/>
    </row>
    <row r="268" spans="1:2">
      <c r="A268" s="231"/>
    </row>
    <row r="269" spans="1:2">
      <c r="A269" s="231"/>
    </row>
    <row r="270" spans="1:2">
      <c r="A270" s="231"/>
    </row>
    <row r="271" spans="1:2">
      <c r="A271" s="4" t="s">
        <v>240</v>
      </c>
      <c r="B271" s="264" t="str">
        <f>IFERROR(SAL/NS*100,"B")</f>
        <v>B</v>
      </c>
    </row>
    <row r="272" spans="1:2">
      <c r="A272" s="369" t="s">
        <v>241</v>
      </c>
      <c r="B272" s="377" t="str">
        <f>IFERROR(PT/NS*100,"B")</f>
        <v>B</v>
      </c>
    </row>
    <row r="273" spans="1:3">
      <c r="A273" s="369" t="s">
        <v>243</v>
      </c>
      <c r="B273" s="377" t="str">
        <f>IFERROR(GRP_INS/NS*100,"B")</f>
        <v>B</v>
      </c>
    </row>
    <row r="274" spans="1:3">
      <c r="A274" s="369" t="s">
        <v>242</v>
      </c>
      <c r="B274" s="377" t="str">
        <f>IFERROR(BENE/NS*100,"B")</f>
        <v>B</v>
      </c>
    </row>
    <row r="275" spans="1:3">
      <c r="A275" s="4" t="s">
        <v>131</v>
      </c>
      <c r="B275" s="256" t="str">
        <f>IFERROR(PA/NS*100,"B")</f>
        <v>B</v>
      </c>
    </row>
    <row r="276" spans="1:3">
      <c r="A276" s="369" t="s">
        <v>122</v>
      </c>
      <c r="B276" s="376" t="str">
        <f>IFERROR(UT/NS*100,"B")</f>
        <v>B</v>
      </c>
    </row>
    <row r="277" spans="1:3">
      <c r="A277" s="262" t="s">
        <v>316</v>
      </c>
      <c r="B277" s="256" t="str">
        <f>IFERROR(Tele/NS*100,"B")</f>
        <v>B</v>
      </c>
      <c r="C277" s="4" t="s">
        <v>573</v>
      </c>
    </row>
    <row r="278" spans="1:3">
      <c r="A278" s="369" t="s">
        <v>121</v>
      </c>
      <c r="B278" s="377" t="str">
        <f>IFERROR(RM/NS*100,"B")</f>
        <v>B</v>
      </c>
    </row>
    <row r="279" spans="1:3">
      <c r="A279" s="369" t="s">
        <v>123</v>
      </c>
      <c r="B279" s="377" t="str">
        <f>IFERROR(Rent/NS*100,"B")</f>
        <v>B</v>
      </c>
    </row>
    <row r="280" spans="1:3">
      <c r="A280" s="4" t="s">
        <v>244</v>
      </c>
      <c r="B280" s="256" t="str">
        <f>IFERROR(OC/NS*100,"B")</f>
        <v>B</v>
      </c>
    </row>
    <row r="281" spans="1:3">
      <c r="A281" s="369" t="s">
        <v>245</v>
      </c>
      <c r="B281" s="377" t="str">
        <f>IFERROR(VEH/NS*100,"B")</f>
        <v>B</v>
      </c>
    </row>
    <row r="282" spans="1:3">
      <c r="A282" s="369" t="s">
        <v>125</v>
      </c>
      <c r="B282" s="376" t="str">
        <f>IFERROR(Ins/NS*100,"B")</f>
        <v>B</v>
      </c>
    </row>
    <row r="283" spans="1:3">
      <c r="A283" s="4" t="s">
        <v>126</v>
      </c>
      <c r="B283" s="256" t="str">
        <f>IFERROR(DPR/NS*100,"B")</f>
        <v>B</v>
      </c>
    </row>
    <row r="284" spans="1:3">
      <c r="A284" s="369" t="s">
        <v>246</v>
      </c>
      <c r="B284" s="377" t="str">
        <f>IFERROR(TRN/NS*100,"B")</f>
        <v>B</v>
      </c>
    </row>
    <row r="285" spans="1:3">
      <c r="A285" s="369" t="s">
        <v>247</v>
      </c>
      <c r="B285" s="377" t="str">
        <f>IFERROR(MIS/NS*100,"B")</f>
        <v>B</v>
      </c>
    </row>
    <row r="286" spans="1:3">
      <c r="A286" s="369" t="s">
        <v>132</v>
      </c>
      <c r="B286" s="377" t="str">
        <f>IFERROR(AD/NS*100,"B")</f>
        <v>B</v>
      </c>
    </row>
    <row r="287" spans="1:3">
      <c r="A287" s="231"/>
    </row>
    <row r="288" spans="1:3">
      <c r="A288" s="231"/>
    </row>
    <row r="289" spans="1:2">
      <c r="A289" s="231"/>
    </row>
    <row r="290" spans="1:2">
      <c r="A290" s="369" t="s">
        <v>133</v>
      </c>
      <c r="B290" s="377" t="str">
        <f>IFERROR(OE/NS*100,"B")</f>
        <v>B</v>
      </c>
    </row>
    <row r="291" spans="1:2">
      <c r="A291" s="4" t="s">
        <v>134</v>
      </c>
      <c r="B291" s="256" t="str">
        <f>IFERROR(TOE/NS*100,"B")</f>
        <v>B</v>
      </c>
    </row>
    <row r="292" spans="1:2">
      <c r="A292" s="1" t="s">
        <v>135</v>
      </c>
      <c r="B292" s="256" t="str">
        <f>IFERROR(TE/NS*100,"B")</f>
        <v>B</v>
      </c>
    </row>
    <row r="293" spans="1:2">
      <c r="A293" s="1" t="s">
        <v>136</v>
      </c>
      <c r="B293" s="256" t="str">
        <f>IFERROR(OP_2/NS*100,"B")</f>
        <v>B</v>
      </c>
    </row>
    <row r="294" spans="1:2">
      <c r="A294" s="4" t="s">
        <v>137</v>
      </c>
      <c r="B294" s="256" t="str">
        <f>IFERROR(OI/NS*100,"B")</f>
        <v>B</v>
      </c>
    </row>
    <row r="295" spans="1:2">
      <c r="A295" s="4" t="s">
        <v>138</v>
      </c>
      <c r="B295" s="256" t="str">
        <f>IFERROR(Int/NS*100,"B")</f>
        <v>B</v>
      </c>
    </row>
    <row r="296" spans="1:2">
      <c r="A296" s="4" t="s">
        <v>139</v>
      </c>
      <c r="B296" s="256" t="str">
        <f>IFERROR(Oex/NS*100,"B")</f>
        <v>B</v>
      </c>
    </row>
    <row r="297" spans="1:2">
      <c r="A297" s="244" t="s">
        <v>345</v>
      </c>
    </row>
    <row r="298" spans="1:2">
      <c r="A298" s="245" t="s">
        <v>346</v>
      </c>
    </row>
    <row r="299" spans="1:2">
      <c r="A299" s="245" t="s">
        <v>347</v>
      </c>
    </row>
    <row r="300" spans="1:2">
      <c r="A300" s="1" t="s">
        <v>140</v>
      </c>
      <c r="B300" s="256" t="str">
        <f>IFERROR(PBT_2/NS*100,"B")</f>
        <v>B</v>
      </c>
    </row>
    <row r="301" spans="1:2">
      <c r="A301" s="72" t="s">
        <v>398</v>
      </c>
    </row>
    <row r="302" spans="1:2">
      <c r="A302" s="369" t="s">
        <v>129</v>
      </c>
      <c r="B302" s="376" t="str">
        <f>IFERROR(PA_Exec/GP_2*100,"B")</f>
        <v>B</v>
      </c>
    </row>
    <row r="303" spans="1:2">
      <c r="A303" s="4" t="s">
        <v>130</v>
      </c>
      <c r="B303" s="256" t="str">
        <f>IFERROR(PA_Out/GP_2*100,"B")</f>
        <v>B</v>
      </c>
    </row>
    <row r="304" spans="1:2">
      <c r="A304" s="369" t="s">
        <v>303</v>
      </c>
      <c r="B304" s="377" t="str">
        <f>IFERROR(PA_Inside/GP_2*100,"B")</f>
        <v>B</v>
      </c>
    </row>
    <row r="305" spans="1:2">
      <c r="A305" s="4" t="s">
        <v>275</v>
      </c>
      <c r="B305" s="256" t="str">
        <f>IFERROR(PA_Rental/GP_2*100,"B")</f>
        <v>B</v>
      </c>
    </row>
    <row r="306" spans="1:2">
      <c r="A306" s="4" t="s">
        <v>273</v>
      </c>
      <c r="B306" s="256" t="str">
        <f>IFERROR(PA_Parts/GP_2*100,"B")</f>
        <v>B</v>
      </c>
    </row>
    <row r="307" spans="1:2">
      <c r="A307" s="4" t="s">
        <v>305</v>
      </c>
      <c r="B307" s="256" t="str">
        <f>IFERROR(PA_SVC/GP_2*100,"B")</f>
        <v>B</v>
      </c>
    </row>
    <row r="308" spans="1:2">
      <c r="A308" s="369" t="s">
        <v>337</v>
      </c>
      <c r="B308" s="377" t="str">
        <f>IFERROR(PA_WHS/GP_2*100,"B")</f>
        <v>B</v>
      </c>
    </row>
    <row r="309" spans="1:2">
      <c r="A309" s="4" t="s">
        <v>276</v>
      </c>
      <c r="B309" s="256" t="str">
        <f>IFERROR(PA_Adjust/GP_2*100,"B")</f>
        <v>B</v>
      </c>
    </row>
    <row r="310" spans="1:2">
      <c r="A310" s="231"/>
    </row>
    <row r="311" spans="1:2">
      <c r="A311" s="231"/>
    </row>
    <row r="312" spans="1:2">
      <c r="A312" s="231"/>
    </row>
    <row r="313" spans="1:2">
      <c r="A313" s="231"/>
    </row>
    <row r="314" spans="1:2">
      <c r="A314" s="369" t="s">
        <v>240</v>
      </c>
      <c r="B314" s="376" t="str">
        <f>IFERROR(SAL/GP_2*100,"B")</f>
        <v>B</v>
      </c>
    </row>
    <row r="315" spans="1:2">
      <c r="A315" s="369" t="s">
        <v>241</v>
      </c>
      <c r="B315" s="377" t="str">
        <f>IFERROR(PT/GP_2*100,"B")</f>
        <v>B</v>
      </c>
    </row>
    <row r="316" spans="1:2">
      <c r="A316" s="369" t="s">
        <v>243</v>
      </c>
      <c r="B316" s="377" t="str">
        <f>IFERROR(GRP_INS/GP_2*100,"B")</f>
        <v>B</v>
      </c>
    </row>
    <row r="317" spans="1:2">
      <c r="A317" s="369" t="s">
        <v>242</v>
      </c>
      <c r="B317" s="377" t="str">
        <f>IFERROR(BENE/GP_2*100,"B")</f>
        <v>B</v>
      </c>
    </row>
    <row r="318" spans="1:2">
      <c r="A318" s="4" t="s">
        <v>131</v>
      </c>
      <c r="B318" s="256" t="str">
        <f>IFERROR(PA/GP_2*100,"B")</f>
        <v>B</v>
      </c>
    </row>
    <row r="319" spans="1:2">
      <c r="A319" s="369" t="s">
        <v>122</v>
      </c>
      <c r="B319" s="376" t="str">
        <f>IFERROR(UT/GP_2*100,"B")</f>
        <v>B</v>
      </c>
    </row>
    <row r="320" spans="1:2">
      <c r="A320" s="262" t="s">
        <v>316</v>
      </c>
      <c r="B320" s="256" t="str">
        <f>IFERROR(Tele/GP_2*100,"B")</f>
        <v>B</v>
      </c>
    </row>
    <row r="321" spans="1:2">
      <c r="A321" s="369" t="s">
        <v>121</v>
      </c>
      <c r="B321" s="377" t="str">
        <f>IFERROR(RM/GP_2*100,"B")</f>
        <v>B</v>
      </c>
    </row>
    <row r="322" spans="1:2">
      <c r="A322" s="369" t="s">
        <v>123</v>
      </c>
      <c r="B322" s="377" t="str">
        <f>IFERROR(Rent/GP_2*100,"B")</f>
        <v>B</v>
      </c>
    </row>
    <row r="323" spans="1:2">
      <c r="A323" s="4" t="s">
        <v>244</v>
      </c>
      <c r="B323" s="256" t="str">
        <f>IFERROR(OC/GP_2*100,"B")</f>
        <v>B</v>
      </c>
    </row>
    <row r="324" spans="1:2">
      <c r="A324" s="369" t="s">
        <v>245</v>
      </c>
      <c r="B324" s="377" t="str">
        <f>IFERROR(VEH/GP_2*100,"B")</f>
        <v>B</v>
      </c>
    </row>
    <row r="325" spans="1:2">
      <c r="A325" s="369" t="s">
        <v>125</v>
      </c>
      <c r="B325" s="376" t="str">
        <f>IFERROR(Ins/GP_2*100,"B")</f>
        <v>B</v>
      </c>
    </row>
    <row r="326" spans="1:2">
      <c r="A326" s="369" t="s">
        <v>126</v>
      </c>
      <c r="B326" s="377" t="str">
        <f>IFERROR(DPR/GP_2*100,"B")</f>
        <v>B</v>
      </c>
    </row>
    <row r="327" spans="1:2">
      <c r="A327" s="369" t="s">
        <v>246</v>
      </c>
      <c r="B327" s="377" t="str">
        <f>IFERROR(TRN/GP_2*100,"B")</f>
        <v>B</v>
      </c>
    </row>
    <row r="328" spans="1:2">
      <c r="A328" s="369" t="s">
        <v>247</v>
      </c>
      <c r="B328" s="377" t="str">
        <f>IFERROR(MIS/GP_2*100,"B")</f>
        <v>B</v>
      </c>
    </row>
    <row r="329" spans="1:2">
      <c r="A329" s="369" t="s">
        <v>132</v>
      </c>
      <c r="B329" s="377" t="str">
        <f>IFERROR(AD/GP_2*100,"B")</f>
        <v>B</v>
      </c>
    </row>
    <row r="330" spans="1:2">
      <c r="A330" s="231"/>
    </row>
    <row r="331" spans="1:2">
      <c r="A331" s="231"/>
    </row>
    <row r="332" spans="1:2">
      <c r="A332" s="231"/>
    </row>
    <row r="333" spans="1:2">
      <c r="A333" s="369" t="s">
        <v>133</v>
      </c>
      <c r="B333" s="377" t="str">
        <f>IFERROR(OE/GP_2*100,"B")</f>
        <v>B</v>
      </c>
    </row>
    <row r="334" spans="1:2">
      <c r="A334" s="4" t="s">
        <v>134</v>
      </c>
      <c r="B334" s="256" t="str">
        <f>IFERROR(TOE/GP_2*100,"B")</f>
        <v>B</v>
      </c>
    </row>
    <row r="335" spans="1:2">
      <c r="A335" s="1" t="s">
        <v>135</v>
      </c>
      <c r="B335" s="256" t="str">
        <f>IFERROR(TE/GP_2*100,"B")</f>
        <v>B</v>
      </c>
    </row>
    <row r="336" spans="1:2">
      <c r="A336" s="1" t="s">
        <v>136</v>
      </c>
      <c r="B336" s="256" t="str">
        <f>IFERROR(OP_2/GP_2*100,"B")</f>
        <v>B</v>
      </c>
    </row>
    <row r="337" spans="1:2">
      <c r="A337" s="4" t="s">
        <v>137</v>
      </c>
      <c r="B337" s="256" t="str">
        <f>IFERROR(OI/GP_2*100,"B")</f>
        <v>B</v>
      </c>
    </row>
    <row r="338" spans="1:2">
      <c r="A338" s="4" t="s">
        <v>138</v>
      </c>
      <c r="B338" s="256" t="str">
        <f>IFERROR(Int/GP_2*100,"B")</f>
        <v>B</v>
      </c>
    </row>
    <row r="339" spans="1:2">
      <c r="A339" s="4" t="s">
        <v>139</v>
      </c>
      <c r="B339" s="256" t="str">
        <f>IFERROR(Oex/GP_2*100,"B")</f>
        <v>B</v>
      </c>
    </row>
    <row r="340" spans="1:2">
      <c r="A340" s="244" t="s">
        <v>345</v>
      </c>
    </row>
    <row r="341" spans="1:2">
      <c r="A341" s="245" t="s">
        <v>346</v>
      </c>
    </row>
    <row r="342" spans="1:2">
      <c r="A342" s="245" t="s">
        <v>347</v>
      </c>
    </row>
    <row r="343" spans="1:2">
      <c r="A343" s="1" t="s">
        <v>140</v>
      </c>
      <c r="B343" s="256" t="str">
        <f>IFERROR(PBT_2/GP_2*100,"B")</f>
        <v>B</v>
      </c>
    </row>
    <row r="344" spans="1:2">
      <c r="A344" s="72" t="s">
        <v>307</v>
      </c>
    </row>
    <row r="345" spans="1:2">
      <c r="A345" s="4" t="s">
        <v>106</v>
      </c>
      <c r="B345" s="264" t="str">
        <f>IFERROR(Cash/TA_2*100,"B")</f>
        <v>B</v>
      </c>
    </row>
    <row r="346" spans="1:2">
      <c r="A346" s="4" t="s">
        <v>107</v>
      </c>
      <c r="B346" s="264" t="str">
        <f>IFERROR(AR/TA_2*100,"B")</f>
        <v>B</v>
      </c>
    </row>
    <row r="347" spans="1:2">
      <c r="A347" s="4" t="s">
        <v>233</v>
      </c>
      <c r="B347" s="264" t="str">
        <f>IFERROR(NEWINV/TA_2*100,"B")</f>
        <v>B</v>
      </c>
    </row>
    <row r="348" spans="1:2">
      <c r="A348" s="4" t="s">
        <v>234</v>
      </c>
      <c r="B348" s="264" t="str">
        <f>IFERROR(USEDINV/TA_2*100,"B")</f>
        <v>B</v>
      </c>
    </row>
    <row r="349" spans="1:2">
      <c r="A349" s="259" t="s">
        <v>399</v>
      </c>
      <c r="B349" s="263" t="s">
        <v>409</v>
      </c>
    </row>
    <row r="350" spans="1:2">
      <c r="A350" s="4" t="s">
        <v>235</v>
      </c>
      <c r="B350" s="264" t="str">
        <f>IFERROR(PARTSINV/TA_2*100,"B")</f>
        <v>B</v>
      </c>
    </row>
    <row r="351" spans="1:2">
      <c r="A351" s="4" t="s">
        <v>236</v>
      </c>
      <c r="B351" s="264" t="str">
        <f>IFERROR(OINV/TA_2*100,"B")</f>
        <v>B</v>
      </c>
    </row>
    <row r="352" spans="1:2">
      <c r="A352" s="4" t="s">
        <v>108</v>
      </c>
      <c r="B352" s="264" t="str">
        <f>IFERROR(INV_2/TA_2*100,"B")</f>
        <v>B</v>
      </c>
    </row>
    <row r="353" spans="1:2">
      <c r="A353" s="4" t="s">
        <v>109</v>
      </c>
      <c r="B353" s="264" t="str">
        <f>IFERROR(Oca/TA_2*100,"B")</f>
        <v>B</v>
      </c>
    </row>
    <row r="354" spans="1:2">
      <c r="A354" s="1" t="s">
        <v>105</v>
      </c>
      <c r="B354" s="264" t="str">
        <f>IFERROR(CA_2/TA_2*100,"B")</f>
        <v>B</v>
      </c>
    </row>
    <row r="355" spans="1:2">
      <c r="A355" s="4" t="s">
        <v>110</v>
      </c>
      <c r="B355" s="264" t="str">
        <f>IFERROR(IF(Fixed&lt;&gt;0,Fixed/TA_2*100,"B"),"b")</f>
        <v>B</v>
      </c>
    </row>
    <row r="356" spans="1:2">
      <c r="A356" s="4" t="s">
        <v>111</v>
      </c>
      <c r="B356" s="264" t="str">
        <f>IFERROR(OFA/TA_2*100,"B")</f>
        <v>B</v>
      </c>
    </row>
    <row r="357" spans="1:2">
      <c r="A357" s="1" t="s">
        <v>104</v>
      </c>
      <c r="B357" s="264" t="str">
        <f>IFERROR(TA_2/TA_2*100,"B")</f>
        <v>B</v>
      </c>
    </row>
    <row r="358" spans="1:2">
      <c r="A358" s="4" t="s">
        <v>113</v>
      </c>
      <c r="B358" s="264" t="str">
        <f>IFERROR(AP/TA_2*100,"B")</f>
        <v>B</v>
      </c>
    </row>
    <row r="359" spans="1:2">
      <c r="A359" s="4" t="s">
        <v>114</v>
      </c>
      <c r="B359" s="264" t="str">
        <f>IFERROR(NP/TA_2*100,"B")</f>
        <v>B</v>
      </c>
    </row>
    <row r="360" spans="1:2">
      <c r="A360" s="4" t="s">
        <v>115</v>
      </c>
      <c r="B360" s="264" t="str">
        <f>IFERROR(Ocl/TA_2*100,"B")</f>
        <v>B</v>
      </c>
    </row>
    <row r="361" spans="1:2">
      <c r="A361" s="1" t="s">
        <v>112</v>
      </c>
      <c r="B361" s="264" t="str">
        <f>IFERROR(CL/TA_2*100,"B")</f>
        <v>B</v>
      </c>
    </row>
    <row r="362" spans="1:2">
      <c r="A362" s="4" t="s">
        <v>116</v>
      </c>
      <c r="B362" s="264" t="str">
        <f>IFERROR(LTL/TA_2*100,"B")</f>
        <v>B</v>
      </c>
    </row>
    <row r="363" spans="1:2">
      <c r="A363" s="4" t="s">
        <v>117</v>
      </c>
      <c r="B363" s="264" t="str">
        <f>IFERROR(Loan/TA_2*100,"B")</f>
        <v>B</v>
      </c>
    </row>
    <row r="364" spans="1:2">
      <c r="A364" s="4" t="s">
        <v>118</v>
      </c>
      <c r="B364" s="264" t="str">
        <f>IFERROR(Eqty/TA_2*100,"B")</f>
        <v>B</v>
      </c>
    </row>
    <row r="365" spans="1:2">
      <c r="A365" s="1" t="s">
        <v>119</v>
      </c>
      <c r="B365" s="264" t="str">
        <f>B357</f>
        <v>B</v>
      </c>
    </row>
    <row r="366" spans="1:2">
      <c r="A366" s="1"/>
    </row>
    <row r="368" spans="1:2">
      <c r="A368" s="257" t="s">
        <v>400</v>
      </c>
    </row>
    <row r="369" spans="1:2">
      <c r="A369" s="265" t="s">
        <v>401</v>
      </c>
      <c r="B369" s="266">
        <f>IFERROR((PA_Parts+PA_SVC+PA_Rental)*(1+Burden_Pct),"B")</f>
        <v>0</v>
      </c>
    </row>
    <row r="370" spans="1:2">
      <c r="A370" s="265" t="s">
        <v>402</v>
      </c>
      <c r="B370" s="267" t="str">
        <f>IFERROR((NS_Counter+NS_SVC+NS_RENT)/NS*(OC),"B")</f>
        <v>B</v>
      </c>
    </row>
    <row r="371" spans="1:2">
      <c r="A371" s="265" t="s">
        <v>403</v>
      </c>
      <c r="B371" s="267" t="str">
        <f>IFERROR((NS_Counter+NS_SVC+NS_RENT)/NS*(TOE),"B")</f>
        <v>B</v>
      </c>
    </row>
    <row r="372" spans="1:2">
      <c r="A372" s="268" t="s">
        <v>404</v>
      </c>
    </row>
    <row r="373" spans="1:2">
      <c r="A373" s="4" t="s">
        <v>248</v>
      </c>
      <c r="B373" s="269" t="str">
        <f>IFERROR(NS_New/NS*100,"B")</f>
        <v>B</v>
      </c>
    </row>
    <row r="374" spans="1:2">
      <c r="A374" s="4" t="s">
        <v>249</v>
      </c>
      <c r="B374" s="269" t="str">
        <f>IFERROR(NS_Used/NS*100,"B")</f>
        <v>B</v>
      </c>
    </row>
    <row r="375" spans="1:2">
      <c r="A375" s="4" t="s">
        <v>250</v>
      </c>
      <c r="B375" s="269" t="str">
        <f>IFERROR(NS_SH/NS*100,"B")</f>
        <v>B</v>
      </c>
    </row>
    <row r="376" spans="1:2">
      <c r="A376" s="4" t="s">
        <v>251</v>
      </c>
      <c r="B376" s="269" t="str">
        <f>IFERROR(NS_ES/NS*100,"B")</f>
        <v>B</v>
      </c>
    </row>
    <row r="377" spans="1:2">
      <c r="A377" s="4" t="s">
        <v>322</v>
      </c>
      <c r="B377" s="231" t="s">
        <v>311</v>
      </c>
    </row>
    <row r="378" spans="1:2">
      <c r="A378" s="4" t="s">
        <v>252</v>
      </c>
      <c r="B378" s="269" t="str">
        <f>IFERROR(NS_Counter/NS*100,"B")</f>
        <v>B</v>
      </c>
    </row>
    <row r="379" spans="1:2">
      <c r="A379" s="259" t="s">
        <v>405</v>
      </c>
      <c r="B379" s="4" t="s">
        <v>311</v>
      </c>
    </row>
    <row r="380" spans="1:2">
      <c r="A380" s="259" t="s">
        <v>406</v>
      </c>
      <c r="B380" s="4" t="s">
        <v>311</v>
      </c>
    </row>
    <row r="381" spans="1:2">
      <c r="A381" s="259" t="s">
        <v>407</v>
      </c>
      <c r="B381" s="4" t="s">
        <v>311</v>
      </c>
    </row>
    <row r="382" spans="1:2">
      <c r="A382" s="4" t="s">
        <v>253</v>
      </c>
      <c r="B382" s="269" t="str">
        <f>IFERROR(NS_SVC/NS*100,"B")</f>
        <v>B</v>
      </c>
    </row>
    <row r="383" spans="1:2">
      <c r="A383" s="4" t="s">
        <v>254</v>
      </c>
      <c r="B383" s="269" t="str">
        <f>IFERROR(NS_RENT/NS*100,"B")</f>
        <v>B</v>
      </c>
    </row>
    <row r="384" spans="1:2">
      <c r="A384" s="4" t="s">
        <v>255</v>
      </c>
      <c r="B384" s="269" t="str">
        <f>IFERROR(NS_OTH/NS*100,"B")</f>
        <v>B</v>
      </c>
    </row>
    <row r="386" spans="1:2">
      <c r="A386" s="1" t="s">
        <v>408</v>
      </c>
    </row>
    <row r="387" spans="1:2">
      <c r="A387" s="204" t="s">
        <v>256</v>
      </c>
      <c r="B387" s="318" t="str">
        <f>IFERROR(GP_New/NS_New,"B")</f>
        <v>B</v>
      </c>
    </row>
    <row r="388" spans="1:2">
      <c r="A388" s="204" t="s">
        <v>257</v>
      </c>
      <c r="B388" s="318" t="str">
        <f>IFERROR(GP_Used/NS_Used,"B")</f>
        <v>B</v>
      </c>
    </row>
    <row r="389" spans="1:2">
      <c r="A389" s="204" t="s">
        <v>258</v>
      </c>
      <c r="B389" s="318" t="str">
        <f>IFERROR(GP_SH/NS_SH,"B")</f>
        <v>B</v>
      </c>
    </row>
    <row r="390" spans="1:2">
      <c r="A390" s="204" t="s">
        <v>259</v>
      </c>
      <c r="B390" s="318" t="str">
        <f>IFERROR(GP_ES/NS_ES,"B")</f>
        <v>B</v>
      </c>
    </row>
    <row r="391" spans="1:2">
      <c r="A391" s="270" t="s">
        <v>324</v>
      </c>
      <c r="B391" s="271" t="s">
        <v>409</v>
      </c>
    </row>
    <row r="392" spans="1:2">
      <c r="A392" s="204" t="s">
        <v>260</v>
      </c>
      <c r="B392" s="318" t="str">
        <f>IFERROR(GP_Counter/NS_Counter,"B")</f>
        <v>B</v>
      </c>
    </row>
    <row r="393" spans="1:2">
      <c r="A393" s="270" t="s">
        <v>410</v>
      </c>
      <c r="B393" s="4" t="s">
        <v>311</v>
      </c>
    </row>
    <row r="394" spans="1:2">
      <c r="A394" s="270" t="s">
        <v>411</v>
      </c>
      <c r="B394" s="4" t="s">
        <v>311</v>
      </c>
    </row>
    <row r="395" spans="1:2">
      <c r="A395" s="270" t="s">
        <v>412</v>
      </c>
      <c r="B395" s="4" t="s">
        <v>311</v>
      </c>
    </row>
    <row r="396" spans="1:2">
      <c r="A396" s="204" t="s">
        <v>261</v>
      </c>
      <c r="B396" s="318" t="str">
        <f>IFERROR(GP_SVC/NS_SVC,"B")</f>
        <v>B</v>
      </c>
    </row>
    <row r="397" spans="1:2">
      <c r="A397" s="204" t="s">
        <v>262</v>
      </c>
      <c r="B397" s="318" t="str">
        <f>IFERROR(GP_Rent/NS_RENT,"B")</f>
        <v>B</v>
      </c>
    </row>
    <row r="398" spans="1:2">
      <c r="A398" s="204" t="s">
        <v>263</v>
      </c>
      <c r="B398" s="318" t="str">
        <f>IFERROR(GP_OTH/NS_OTH,"B")</f>
        <v>B</v>
      </c>
    </row>
    <row r="399" spans="1:2">
      <c r="B399" s="318" t="str">
        <f>IFERROR(GP_2/NS,"B")</f>
        <v>B</v>
      </c>
    </row>
    <row r="401" spans="1:2">
      <c r="A401" s="204" t="s">
        <v>413</v>
      </c>
    </row>
    <row r="403" spans="1:2">
      <c r="A403" s="4" t="s">
        <v>414</v>
      </c>
      <c r="B403" s="25" t="str">
        <f>IFERROR(IF(SUM(NS_New+NS_Used+NS_SH+NS_ES+NS_Counter)&gt;0,SUM(NS_New+NS_Used+NS_SH+NS_ES+NS_Counter),"B"),"B")</f>
        <v>B</v>
      </c>
    </row>
    <row r="404" spans="1:2">
      <c r="A404" s="4" t="s">
        <v>415</v>
      </c>
      <c r="B404" s="25" t="str">
        <f>IFERROR(IF(SUM(COGS_New+COGS_Used+COGS_SH+COGS_ES+COGS_Counter)&gt;0,SUM(COGS_New+COGS_Used+COGS_SH+COGS_ES+COGS_Counter),"B"),"B")</f>
        <v>B</v>
      </c>
    </row>
    <row r="405" spans="1:2">
      <c r="A405" s="4" t="s">
        <v>416</v>
      </c>
      <c r="B405" s="25" t="str">
        <f>IFERROR(IF(B403-B404&gt;0,B403-B404,"B"),"B")</f>
        <v>B</v>
      </c>
    </row>
    <row r="406" spans="1:2">
      <c r="A406" s="4" t="s">
        <v>383</v>
      </c>
      <c r="B406" s="272" t="str">
        <f>IFERROR(WHSGP/AVG_2,"B")</f>
        <v>B</v>
      </c>
    </row>
    <row r="408" spans="1:2">
      <c r="A408" s="204" t="s">
        <v>417</v>
      </c>
      <c r="B408" s="272" t="str">
        <f>IFERROR(WHSGP/WHSNS,"B")</f>
        <v>B</v>
      </c>
    </row>
    <row r="409" spans="1:2">
      <c r="A409" s="204" t="s">
        <v>418</v>
      </c>
      <c r="B409" s="272" t="str">
        <f>IFERROR(B408*B234,"B")</f>
        <v>B</v>
      </c>
    </row>
    <row r="411" spans="1:2">
      <c r="A411" s="1" t="s">
        <v>419</v>
      </c>
    </row>
    <row r="412" spans="1:2">
      <c r="A412" s="4" t="s">
        <v>420</v>
      </c>
      <c r="B412" s="273" t="str">
        <f>IF(SUM(NS_Counter+NS_SVC+NS_RENT)&gt;0,SUM(NS_Counter+NS_SVC+NS_RENT),"B")</f>
        <v>B</v>
      </c>
    </row>
    <row r="413" spans="1:2">
      <c r="A413" s="4" t="s">
        <v>421</v>
      </c>
      <c r="B413" s="273" t="str">
        <f>IF(SUM(COGS_Counter+COGS_SVC+COGS_Rent)&gt;0,SUM(COGS_Counter+COGS_SVC+COGS_Rent),"B")</f>
        <v>B</v>
      </c>
    </row>
    <row r="414" spans="1:2">
      <c r="A414" s="4" t="s">
        <v>422</v>
      </c>
      <c r="B414" s="25">
        <f>IFERROR(SUM(NS_Counter+NS_SVC+NS_RENT)-SUM(COGS_Counter+COGS_SVC+COGS_Rent),"B")</f>
        <v>0</v>
      </c>
    </row>
    <row r="415" spans="1:2">
      <c r="A415" s="4" t="s">
        <v>423</v>
      </c>
      <c r="B415" s="266">
        <f>IFERROR((PA_Parts+PA_SVC+PA_Rental)*(1+Burden_Pct),"B")</f>
        <v>0</v>
      </c>
    </row>
    <row r="416" spans="1:2">
      <c r="A416" s="4" t="s">
        <v>424</v>
      </c>
      <c r="B416" s="267" t="str">
        <f>IFERROR((NS_Counter+NS_SVC+NS_RENT)/NS*(OC),"B")</f>
        <v>B</v>
      </c>
    </row>
    <row r="417" spans="1:2">
      <c r="A417" s="4" t="s">
        <v>425</v>
      </c>
      <c r="B417" s="267" t="str">
        <f>IFERROR((NS_Counter+NS_SVC+NS_RENT)/NS*(TOE),"B")</f>
        <v>B</v>
      </c>
    </row>
    <row r="418" spans="1:2">
      <c r="A418" s="4" t="s">
        <v>426</v>
      </c>
      <c r="B418" s="274" t="str">
        <f>IFERROR(B415+B416+B417,"B")</f>
        <v>B</v>
      </c>
    </row>
    <row r="419" spans="1:2">
      <c r="A419" s="4" t="s">
        <v>427</v>
      </c>
      <c r="B419" s="275" t="str">
        <f>IFERROR(IF(AND(B414&lt;&gt;"B",B418&lt;&gt;"B"),B414-B418,"B"),"B")</f>
        <v>B</v>
      </c>
    </row>
    <row r="420" spans="1:2">
      <c r="A420" s="1" t="s">
        <v>428</v>
      </c>
    </row>
    <row r="421" spans="1:2">
      <c r="A421" s="4" t="s">
        <v>420</v>
      </c>
      <c r="B421" s="276">
        <v>1</v>
      </c>
    </row>
    <row r="422" spans="1:2">
      <c r="A422" s="277" t="s">
        <v>421</v>
      </c>
      <c r="B422" s="278" t="str">
        <f>IFERROR(SUM(COGS_Counter+COGS_SVC+COGS_Rent)/SUM(NS_Counter+NS_SVC+NS_RENT)*100,"B")</f>
        <v>B</v>
      </c>
    </row>
    <row r="423" spans="1:2">
      <c r="A423" s="4" t="s">
        <v>422</v>
      </c>
      <c r="B423" s="269" t="str">
        <f>IFERROR(((SUM(NS_Counter+NS_SVC+NS_RENT)-SUM(COGS_Counter+COGS_SVC+COGS_Rent))/SUM(NS_Counter+NS_SVC+NS_RENT)*100),"B")</f>
        <v>B</v>
      </c>
    </row>
    <row r="424" spans="1:2">
      <c r="A424" s="277" t="s">
        <v>423</v>
      </c>
      <c r="B424" s="279" t="str">
        <f>IFERROR(((PA_Parts+PA_SVC+PA_Rental)*(1+Burden_Pct)/SUM(NS_Counter+NS_SVC+NS_RENT)*100),"B")</f>
        <v>B</v>
      </c>
    </row>
    <row r="425" spans="1:2">
      <c r="A425" s="277" t="s">
        <v>424</v>
      </c>
      <c r="B425" s="280" t="str">
        <f>IFERROR((NS_Counter+NS_SVC+NS_RENT)/NS*(OC)/SUM(NS_Counter+NS_SVC+NS_RENT)*100,"B")</f>
        <v>B</v>
      </c>
    </row>
    <row r="426" spans="1:2">
      <c r="A426" s="277" t="s">
        <v>425</v>
      </c>
      <c r="B426" s="281" t="str">
        <f>IFERROR((NS_Counter+NS_SVC+NS_RENT)/NS*(TOE)/SUM(NS_Counter+NS_SVC+NS_RENT)*100,"B")</f>
        <v>B</v>
      </c>
    </row>
    <row r="427" spans="1:2">
      <c r="A427" s="4" t="s">
        <v>426</v>
      </c>
      <c r="B427" s="282" t="str">
        <f>IFERROR(B424+B425+B426,"B")</f>
        <v>B</v>
      </c>
    </row>
    <row r="428" spans="1:2">
      <c r="A428" s="277" t="s">
        <v>429</v>
      </c>
      <c r="B428" s="276" t="str">
        <f>IFERROR((B423-B427)/100,"B")</f>
        <v>B</v>
      </c>
    </row>
    <row r="429" spans="1:2">
      <c r="A429" s="4" t="s">
        <v>430</v>
      </c>
      <c r="B429" s="314" t="str">
        <f>IFERROR(GP_2/NS,"B")</f>
        <v>B</v>
      </c>
    </row>
    <row r="430" spans="1:2">
      <c r="A430" s="283" t="s">
        <v>431</v>
      </c>
      <c r="B430" s="272" t="str">
        <f>IFERROR(B414/GP_2,"B")</f>
        <v>B</v>
      </c>
    </row>
    <row r="431" spans="1:2">
      <c r="A431" s="258" t="s">
        <v>432</v>
      </c>
    </row>
    <row r="432" spans="1:2">
      <c r="A432" s="4" t="s">
        <v>433</v>
      </c>
      <c r="B432" s="272" t="str">
        <f>IFERROR(B414/TE,"B")</f>
        <v>B</v>
      </c>
    </row>
    <row r="433" spans="1:2">
      <c r="A433" s="4" t="s">
        <v>434</v>
      </c>
      <c r="B433" s="272" t="str">
        <f>IFERROR(B414/(TE-PA_Out),"B")</f>
        <v>B</v>
      </c>
    </row>
    <row r="434" spans="1:2">
      <c r="A434" s="369" t="s">
        <v>435</v>
      </c>
      <c r="B434" s="371" t="str">
        <f>IF(ISBLANK(CUST),"b",CUST)</f>
        <v>b</v>
      </c>
    </row>
    <row r="435" spans="1:2">
      <c r="A435" s="369" t="s">
        <v>436</v>
      </c>
      <c r="B435" s="378" t="str">
        <f>IFERROR(NS/(CUST),"B")</f>
        <v>B</v>
      </c>
    </row>
    <row r="436" spans="1:2">
      <c r="A436" s="258" t="s">
        <v>437</v>
      </c>
    </row>
    <row r="437" spans="1:2">
      <c r="A437" s="283" t="s">
        <v>438</v>
      </c>
      <c r="B437" s="25" t="str">
        <f>IFERROR(IF(SUM(NS_New+NS_Used+NS_SH+NS_ES)&gt;0,SUM(NS_New+NS_Used+NS_SH+NS_ES),"B"),"B")</f>
        <v>B</v>
      </c>
    </row>
    <row r="438" spans="1:2">
      <c r="A438" s="283" t="s">
        <v>439</v>
      </c>
      <c r="B438" s="25" t="str">
        <f>IFERROR(IF(SUM(COGS_New+COGS_Used+COGS_SH+COGS_ES)&gt;0,SUM(COGS_New+COGS_Used+COGS_SH+COGS_ES),"B"),"B")</f>
        <v>B</v>
      </c>
    </row>
    <row r="439" spans="1:2">
      <c r="A439" s="283" t="s">
        <v>440</v>
      </c>
      <c r="B439" s="25">
        <f>IFERROR(SUM(NS_New+NS_Used+NS_SH+NS_ES)-SUM(COGS_New+COGS_Used+COGS_SH+COGS_ES),"B")</f>
        <v>0</v>
      </c>
    </row>
    <row r="440" spans="1:2">
      <c r="A440" s="283" t="s">
        <v>441</v>
      </c>
      <c r="B440" s="182" t="str">
        <f>IF((PA_Out&gt;0),(PA_Out+PA_Inside)*(1+Burden_Pct),"b")</f>
        <v>b</v>
      </c>
    </row>
    <row r="441" spans="1:2">
      <c r="A441" s="283" t="s">
        <v>442</v>
      </c>
      <c r="B441" s="25" t="str">
        <f>IFERROR(IF(AND(SUM(NS_New+NS_Used+NS_SH+NS_ES)&gt;0,OC&gt;0),OC*(SUM(NS_New+NS_Used+NS_SH+NS_ES)/NS),b),"B")</f>
        <v>B</v>
      </c>
    </row>
    <row r="442" spans="1:2">
      <c r="A442" s="283" t="s">
        <v>443</v>
      </c>
      <c r="B442" s="25" t="str">
        <f>IFERROR(IF(AND(SUM(NS_New+NS_Used+NS_SH+NS_ES)&gt;0,OC&gt;0),TOE*(SUM(NS_New+NS_Used+NS_SH+NS_ES)/NS),b),"B")</f>
        <v>B</v>
      </c>
    </row>
    <row r="443" spans="1:2">
      <c r="A443" s="283" t="s">
        <v>444</v>
      </c>
      <c r="B443" s="284" t="str">
        <f>IFERROR(B440+B441+B442,"B")</f>
        <v>B</v>
      </c>
    </row>
    <row r="444" spans="1:2">
      <c r="A444" s="283" t="s">
        <v>445</v>
      </c>
      <c r="B444" s="285" t="str">
        <f>IFERROR(IF(AND(B439&lt;&gt;"B",B443&lt;&gt;"B"),B439-B443,"B"),"B")</f>
        <v>B</v>
      </c>
    </row>
    <row r="445" spans="1:2">
      <c r="A445" s="258" t="s">
        <v>446</v>
      </c>
    </row>
    <row r="446" spans="1:2">
      <c r="A446" s="283" t="s">
        <v>438</v>
      </c>
      <c r="B446" s="276">
        <v>1</v>
      </c>
    </row>
    <row r="447" spans="1:2">
      <c r="A447" s="283" t="s">
        <v>439</v>
      </c>
      <c r="B447" s="278" t="str">
        <f>IFERROR(SUM(COGS_New+COGS_Used+COGS_SH+COGS_ES)/SUM(NS_New+NS_Used+NS_SH+NS_ES)*100,"B")</f>
        <v>B</v>
      </c>
    </row>
    <row r="448" spans="1:2">
      <c r="A448" s="283" t="s">
        <v>440</v>
      </c>
      <c r="B448" s="269" t="str">
        <f>IFERROR(((SUM(NS_New+NS_Used+NS_SH+NS_ES)-SUM(COGS_New+COGS_Used+COGS_SH+COGS_ES))/SUM(NS_New+NS_Used+NS_SH+NS_ES)*100),"B")</f>
        <v>B</v>
      </c>
    </row>
    <row r="449" spans="1:2">
      <c r="A449" s="283" t="s">
        <v>441</v>
      </c>
      <c r="B449" s="279" t="str">
        <f>IFERROR(((PA_Out+PA_Inside)*(1+Burden_Pct)/SUM(NS_New+NS_Used+NS_SH+NS_ES)*100),"B")</f>
        <v>B</v>
      </c>
    </row>
    <row r="450" spans="1:2">
      <c r="A450" s="283" t="s">
        <v>442</v>
      </c>
      <c r="B450" s="280" t="str">
        <f>IFERROR((NS_New+NS_Used+NS_SH+NS_ES)/NS*(OC)/SUM(NS_New+NS_Used+NS_SH+NS_ES)*100,"B")</f>
        <v>B</v>
      </c>
    </row>
    <row r="451" spans="1:2">
      <c r="A451" s="283" t="s">
        <v>443</v>
      </c>
      <c r="B451" s="281" t="str">
        <f>IFERROR((NS_New+NS_Used+NS_SH+NS_ES)/NS*(TOE)/SUM(NS_New+NS_Used+NS_SH+NS_ES)*100,"B")</f>
        <v>B</v>
      </c>
    </row>
    <row r="452" spans="1:2">
      <c r="A452" s="283" t="s">
        <v>444</v>
      </c>
      <c r="B452" s="282" t="str">
        <f>IFERROR(B449+B450+B451,"B")</f>
        <v>B</v>
      </c>
    </row>
    <row r="453" spans="1:2">
      <c r="A453" s="283" t="s">
        <v>445</v>
      </c>
      <c r="B453" s="286" t="str">
        <f>IFERROR((B448-B452)/100,"B")</f>
        <v>B</v>
      </c>
    </row>
    <row r="454" spans="1:2">
      <c r="A454" s="258" t="s">
        <v>447</v>
      </c>
    </row>
    <row r="455" spans="1:2">
      <c r="A455" s="283" t="s">
        <v>204</v>
      </c>
      <c r="B455" s="279" t="str">
        <f>IFERROR(((PA_Out+PA_Inside)*(1+Burden_Pct)/(SUM(NS_New+NS_Used+NS_SH+NS_ES)-SUM(COGS_New+COGS_Used+COGS_SH+COGS_ES))*100),"B")</f>
        <v>B</v>
      </c>
    </row>
    <row r="456" spans="1:2">
      <c r="A456" s="283" t="s">
        <v>205</v>
      </c>
      <c r="B456" s="280" t="str">
        <f>IFERROR((NS_New+NS_Used+NS_SH+NS_ES)/NS*(OC)/(SUM(NS_New+NS_Used+NS_SH+NS_ES)-SUM(COGS_New+COGS_Used+COGS_SH+COGS_ES))*100,"B")</f>
        <v>B</v>
      </c>
    </row>
    <row r="457" spans="1:2">
      <c r="A457" s="283" t="s">
        <v>448</v>
      </c>
      <c r="B457" s="281" t="str">
        <f>IFERROR((NS_New+NS_Used+NS_SH+NS_ES)/NS*(TOE)/(SUM(NS_New+NS_Used+NS_SH+NS_ES)-SUM(COGS_New+COGS_Used+COGS_SH+COGS_ES))*100,"B")</f>
        <v>B</v>
      </c>
    </row>
    <row r="458" spans="1:2">
      <c r="A458" s="283" t="s">
        <v>449</v>
      </c>
      <c r="B458" s="282" t="str">
        <f>IFERROR(B455+B456+B457,"B")</f>
        <v>B</v>
      </c>
    </row>
    <row r="459" spans="1:2">
      <c r="A459" s="283" t="s">
        <v>450</v>
      </c>
      <c r="B459" s="286" t="str">
        <f>IFERROR((100-B458)/100,"B")</f>
        <v>B</v>
      </c>
    </row>
    <row r="460" spans="1:2">
      <c r="A460" s="258" t="s">
        <v>451</v>
      </c>
    </row>
    <row r="461" spans="1:2">
      <c r="A461" s="386" t="s">
        <v>452</v>
      </c>
      <c r="B461" s="382" t="str">
        <f>IF(ISBLANK(EMP_Inside),"b",EMP_Inside)</f>
        <v>b</v>
      </c>
    </row>
    <row r="462" spans="1:2">
      <c r="A462" s="386" t="s">
        <v>453</v>
      </c>
      <c r="B462" s="383" t="str">
        <f>IF(ISBLANK(EMP_Out),"b",EMP_Out)</f>
        <v>b</v>
      </c>
    </row>
    <row r="463" spans="1:2">
      <c r="A463" s="283" t="s">
        <v>454</v>
      </c>
      <c r="B463" s="282">
        <f>IFERROR(EMP_Inside+EMP_Out,"B")</f>
        <v>0</v>
      </c>
    </row>
    <row r="464" spans="1:2">
      <c r="A464" s="283" t="s">
        <v>455</v>
      </c>
      <c r="B464" s="287" t="str">
        <f>IFERROR(SUM(NS_New+NS_Used+NS_SH+NS_ES)/(EMP_Inside+EMP_Out),"B")</f>
        <v>B</v>
      </c>
    </row>
    <row r="465" spans="1:2">
      <c r="A465" s="283" t="s">
        <v>456</v>
      </c>
      <c r="B465" s="287" t="str">
        <f>IFERROR((SUM(NS_New+NS_Used+NS_SH+NS_ES)-SUM(COGS_New+COGS_Used+COGS_SH+COGS_ES))/(EMP_Inside+EMP_Out),"B")</f>
        <v>B</v>
      </c>
    </row>
    <row r="466" spans="1:2">
      <c r="A466" s="268" t="s">
        <v>457</v>
      </c>
    </row>
    <row r="467" spans="1:2">
      <c r="A467" s="265" t="s">
        <v>458</v>
      </c>
      <c r="B467" s="276" t="str">
        <f>IFERROR(NS_New/SUM(NS_New+NS_Used+NS_SH+NS_ES),"B")</f>
        <v>B</v>
      </c>
    </row>
    <row r="468" spans="1:2">
      <c r="A468" s="265" t="s">
        <v>459</v>
      </c>
      <c r="B468" s="269" t="str">
        <f>IFERROR(NS_Used/SUM(NS_New+NS_Used+NS_SH+NS_ES)*100,"B")</f>
        <v>B</v>
      </c>
    </row>
    <row r="469" spans="1:2">
      <c r="A469" s="265" t="s">
        <v>460</v>
      </c>
      <c r="B469" s="269" t="str">
        <f>IFERROR(NS_SH/SUM(NS_New+NS_Used+NS_SH+NS_ES)*100,"B")</f>
        <v>B</v>
      </c>
    </row>
    <row r="470" spans="1:2">
      <c r="A470" s="265" t="s">
        <v>461</v>
      </c>
      <c r="B470" s="269" t="str">
        <f>IFERROR(NS_ES/SUM(NS_New+NS_Used+NS_SH+NS_ES)*100,"B")</f>
        <v>B</v>
      </c>
    </row>
    <row r="471" spans="1:2">
      <c r="A471" s="288" t="s">
        <v>462</v>
      </c>
      <c r="B471" s="276">
        <v>1</v>
      </c>
    </row>
    <row r="472" spans="1:2">
      <c r="A472" s="258" t="s">
        <v>463</v>
      </c>
    </row>
    <row r="473" spans="1:2">
      <c r="A473" s="283" t="s">
        <v>458</v>
      </c>
      <c r="B473" s="289" t="str">
        <f>IF(AND(NS_New&gt;0,COGS_New&gt;0),(NS_New-COGS_New)/(NS_New),"b")</f>
        <v>b</v>
      </c>
    </row>
    <row r="474" spans="1:2">
      <c r="A474" s="283" t="s">
        <v>459</v>
      </c>
      <c r="B474" s="289" t="str">
        <f>IF(AND(NS_Used&gt;0,COGS_Used),(NS_Used-COGS_Used)/NS_Used,"b")</f>
        <v>b</v>
      </c>
    </row>
    <row r="475" spans="1:2">
      <c r="A475" s="283" t="s">
        <v>460</v>
      </c>
      <c r="B475" s="289" t="str">
        <f>IF(AND(NS_SH&gt;0,COGS_SH),(NS_SH-COGS_SH)/NS_SH,"b")</f>
        <v>b</v>
      </c>
    </row>
    <row r="476" spans="1:2">
      <c r="A476" s="283" t="s">
        <v>461</v>
      </c>
      <c r="B476" s="289" t="str">
        <f>IF(AND(NS_ES&gt;0,COGS_ES&gt;0),(NS_ES-COGS_ES)/NS_ES,"b")</f>
        <v>b</v>
      </c>
    </row>
    <row r="477" spans="1:2">
      <c r="A477" s="258" t="s">
        <v>464</v>
      </c>
    </row>
    <row r="478" spans="1:2">
      <c r="A478" s="386" t="s">
        <v>465</v>
      </c>
      <c r="B478" s="382" t="str">
        <f>IF(ISBLANK(AgeNew),"b",AgeNew)</f>
        <v>b</v>
      </c>
    </row>
    <row r="479" spans="1:2">
      <c r="A479" s="386" t="s">
        <v>466</v>
      </c>
      <c r="B479" s="382" t="str">
        <f>IF(ISBLANK(AgeUsed),"b",AgeUsed)</f>
        <v>b</v>
      </c>
    </row>
    <row r="480" spans="1:2">
      <c r="A480" s="283" t="s">
        <v>467</v>
      </c>
      <c r="B480" s="290" t="s">
        <v>468</v>
      </c>
    </row>
    <row r="481" spans="1:2">
      <c r="A481" s="258" t="s">
        <v>469</v>
      </c>
    </row>
    <row r="482" spans="1:2">
      <c r="A482" s="283" t="s">
        <v>470</v>
      </c>
      <c r="B482" s="264" t="str">
        <f>IFERROR(COGS_New/NEWINV,"B")</f>
        <v>B</v>
      </c>
    </row>
    <row r="483" spans="1:2">
      <c r="A483" s="283" t="s">
        <v>471</v>
      </c>
      <c r="B483" s="264" t="str">
        <f>IFERROR(COGS_Used/USEDINV,"B")</f>
        <v>B</v>
      </c>
    </row>
    <row r="484" spans="1:2">
      <c r="A484" s="291" t="s">
        <v>472</v>
      </c>
      <c r="B484" s="4" t="s">
        <v>409</v>
      </c>
    </row>
    <row r="485" spans="1:2">
      <c r="A485" s="258" t="s">
        <v>473</v>
      </c>
    </row>
    <row r="486" spans="1:2">
      <c r="A486" s="283" t="s">
        <v>474</v>
      </c>
      <c r="B486" s="13" t="str">
        <f>IF((NS_OTH&lt;&gt;NS),NS_Counter,"b")</f>
        <v>b</v>
      </c>
    </row>
    <row r="487" spans="1:2">
      <c r="A487" s="161" t="s">
        <v>475</v>
      </c>
    </row>
    <row r="488" spans="1:2">
      <c r="A488" s="283" t="s">
        <v>476</v>
      </c>
      <c r="B488" s="276">
        <v>1</v>
      </c>
    </row>
    <row r="489" spans="1:2">
      <c r="A489" s="292" t="s">
        <v>477</v>
      </c>
      <c r="B489" s="278" t="str">
        <f>IFERROR(SUM(COGS_Counter)/SUM(NS_Counter)*100,"B")</f>
        <v>B</v>
      </c>
    </row>
    <row r="490" spans="1:2">
      <c r="A490" s="283" t="s">
        <v>478</v>
      </c>
      <c r="B490" s="269" t="str">
        <f>IFERROR(((SUM(NS_Counter)-SUM(COGS_Counter))/SUM(NS_Counter)*100),"B")</f>
        <v>B</v>
      </c>
    </row>
    <row r="491" spans="1:2">
      <c r="A491" s="292" t="s">
        <v>479</v>
      </c>
      <c r="B491" s="279" t="str">
        <f>IFERROR(((PA_Parts)*(1+Burden_Pct)/(NS_Counter)*100),"B")</f>
        <v>B</v>
      </c>
    </row>
    <row r="492" spans="1:2">
      <c r="A492" s="292" t="s">
        <v>480</v>
      </c>
      <c r="B492" s="280" t="str">
        <f>IFERROR((NS_Counter)/NS*(OC)/(NS_Counter)*100,"B")</f>
        <v>B</v>
      </c>
    </row>
    <row r="493" spans="1:2">
      <c r="A493" s="292" t="s">
        <v>481</v>
      </c>
      <c r="B493" s="281" t="str">
        <f>IFERROR((NS_Counter)/NS*(TOE)/(NS_Counter)*100,"B")</f>
        <v>B</v>
      </c>
    </row>
    <row r="494" spans="1:2">
      <c r="A494" s="283" t="s">
        <v>482</v>
      </c>
      <c r="B494" s="282" t="str">
        <f>IFERROR(B491+B492+B493,"B")</f>
        <v>B</v>
      </c>
    </row>
    <row r="495" spans="1:2">
      <c r="A495" s="292" t="s">
        <v>483</v>
      </c>
      <c r="B495" s="286" t="str">
        <f>IFERROR((B490-B494)/100,"B")</f>
        <v>B</v>
      </c>
    </row>
    <row r="496" spans="1:2">
      <c r="A496" s="258" t="s">
        <v>484</v>
      </c>
    </row>
    <row r="497" spans="1:2">
      <c r="A497" s="1" t="s">
        <v>485</v>
      </c>
      <c r="B497" s="25" t="str">
        <f>IFERROR(IF((NS_Counter-COGS_Counter)=0,"B",(NS_Counter-COGS_Counter)),"B")</f>
        <v>B</v>
      </c>
    </row>
    <row r="498" spans="1:2">
      <c r="A498" s="292" t="s">
        <v>479</v>
      </c>
      <c r="B498" s="279" t="str">
        <f>IFERROR(((PA_Parts)*(1+Burden_Pct)/(SUM(NS_Counter)-SUM(COGS_Counter))*100),"B")</f>
        <v>B</v>
      </c>
    </row>
    <row r="499" spans="1:2">
      <c r="A499" s="292" t="s">
        <v>480</v>
      </c>
      <c r="B499" s="280" t="str">
        <f>IFERROR((NS_Counter)/NS*(OC)/(SUM(NS_Counter)-SUM(COGS_Counter))*100,"B")</f>
        <v>B</v>
      </c>
    </row>
    <row r="500" spans="1:2">
      <c r="A500" s="292" t="s">
        <v>481</v>
      </c>
      <c r="B500" s="281" t="str">
        <f>IFERROR((NS_Counter)/NS*(TOE)/(SUM(NS_Counter)-SUM(COGS_Counter))*100,"B")</f>
        <v>B</v>
      </c>
    </row>
    <row r="501" spans="1:2">
      <c r="A501" s="283" t="s">
        <v>482</v>
      </c>
      <c r="B501" s="282" t="str">
        <f>IFERROR(B498+B499+B500,"B")</f>
        <v>B</v>
      </c>
    </row>
    <row r="502" spans="1:2">
      <c r="A502" s="292" t="s">
        <v>483</v>
      </c>
      <c r="B502" s="286" t="str">
        <f>IFERROR((100-B501)/100,"B")</f>
        <v>B</v>
      </c>
    </row>
    <row r="503" spans="1:2">
      <c r="A503" s="258" t="s">
        <v>486</v>
      </c>
    </row>
    <row r="504" spans="1:2">
      <c r="A504" s="379" t="s">
        <v>487</v>
      </c>
      <c r="B504" s="380" t="s">
        <v>409</v>
      </c>
    </row>
    <row r="505" spans="1:2">
      <c r="A505" s="379" t="s">
        <v>488</v>
      </c>
      <c r="B505" s="380" t="s">
        <v>409</v>
      </c>
    </row>
    <row r="506" spans="1:2">
      <c r="A506" s="379" t="s">
        <v>489</v>
      </c>
      <c r="B506" s="380" t="s">
        <v>409</v>
      </c>
    </row>
    <row r="507" spans="1:2">
      <c r="A507" s="379" t="s">
        <v>490</v>
      </c>
      <c r="B507" s="380" t="s">
        <v>409</v>
      </c>
    </row>
    <row r="508" spans="1:2">
      <c r="A508" s="379" t="s">
        <v>299</v>
      </c>
      <c r="B508" s="380" t="s">
        <v>409</v>
      </c>
    </row>
    <row r="509" spans="1:2">
      <c r="A509" s="381" t="s">
        <v>335</v>
      </c>
      <c r="B509" s="380" t="s">
        <v>409</v>
      </c>
    </row>
    <row r="510" spans="1:2">
      <c r="A510" s="294" t="s">
        <v>491</v>
      </c>
      <c r="B510" s="61" t="str">
        <f>IF(ISBLANK(EMP_Parts),"b",EMP_Parts)</f>
        <v>b</v>
      </c>
    </row>
    <row r="511" spans="1:2">
      <c r="A511" s="283" t="s">
        <v>492</v>
      </c>
      <c r="B511" s="287" t="str">
        <f>IFERROR((NS_Counter)/(EMP_Parts),"B")</f>
        <v>B</v>
      </c>
    </row>
    <row r="512" spans="1:2">
      <c r="A512" s="283" t="s">
        <v>493</v>
      </c>
      <c r="B512" s="287" t="str">
        <f>IFERROR(((NS_Counter)-SUM(COGS_Counter))/(EMP_Parts),"B")</f>
        <v>B</v>
      </c>
    </row>
    <row r="513" spans="1:2">
      <c r="A513" s="161" t="s">
        <v>494</v>
      </c>
    </row>
    <row r="514" spans="1:2">
      <c r="A514" s="283" t="s">
        <v>495</v>
      </c>
      <c r="B514" s="290" t="s">
        <v>409</v>
      </c>
    </row>
    <row r="515" spans="1:2">
      <c r="A515" s="283" t="s">
        <v>496</v>
      </c>
      <c r="B515" s="290" t="s">
        <v>409</v>
      </c>
    </row>
    <row r="516" spans="1:2">
      <c r="A516" s="283" t="s">
        <v>497</v>
      </c>
      <c r="B516" s="290" t="s">
        <v>409</v>
      </c>
    </row>
    <row r="517" spans="1:2">
      <c r="A517" s="283" t="s">
        <v>498</v>
      </c>
      <c r="B517" s="290" t="s">
        <v>409</v>
      </c>
    </row>
    <row r="518" spans="1:2">
      <c r="A518" s="292" t="s">
        <v>462</v>
      </c>
      <c r="B518" s="290" t="s">
        <v>409</v>
      </c>
    </row>
    <row r="519" spans="1:2">
      <c r="A519" s="161" t="s">
        <v>478</v>
      </c>
    </row>
    <row r="520" spans="1:2">
      <c r="A520" s="283" t="s">
        <v>495</v>
      </c>
      <c r="B520" s="290" t="s">
        <v>409</v>
      </c>
    </row>
    <row r="521" spans="1:2">
      <c r="A521" s="283" t="s">
        <v>496</v>
      </c>
      <c r="B521" s="290" t="s">
        <v>409</v>
      </c>
    </row>
    <row r="522" spans="1:2">
      <c r="A522" s="283" t="s">
        <v>497</v>
      </c>
      <c r="B522" s="290" t="s">
        <v>409</v>
      </c>
    </row>
    <row r="523" spans="1:2">
      <c r="A523" s="283" t="s">
        <v>499</v>
      </c>
      <c r="B523" s="290" t="s">
        <v>409</v>
      </c>
    </row>
    <row r="524" spans="1:2">
      <c r="A524" s="161" t="s">
        <v>500</v>
      </c>
    </row>
    <row r="525" spans="1:2">
      <c r="A525" s="283" t="s">
        <v>183</v>
      </c>
      <c r="B525" s="295" t="str">
        <f>IF(ISBLANK(AgeParts),"b",AgeParts/100)</f>
        <v>b</v>
      </c>
    </row>
    <row r="526" spans="1:2">
      <c r="A526" s="283" t="s">
        <v>501</v>
      </c>
      <c r="B526" s="264" t="str">
        <f>IFERROR(COGS_Counter/PARTSINV,"B")</f>
        <v>B</v>
      </c>
    </row>
    <row r="527" spans="1:2">
      <c r="A527" s="283" t="s">
        <v>502</v>
      </c>
      <c r="B527" s="255" t="str">
        <f>IFERROR((NS_Counter-COGS_Counter)/PARTSINV,"B")</f>
        <v>B</v>
      </c>
    </row>
    <row r="528" spans="1:2">
      <c r="A528" s="161" t="s">
        <v>503</v>
      </c>
    </row>
    <row r="529" spans="1:2">
      <c r="A529" s="283" t="s">
        <v>504</v>
      </c>
      <c r="B529" s="13" t="str">
        <f>IF(IntParts="","b",IF(ISBLANK(IntParts),"b",IF(IntParts=1,1,0)))</f>
        <v>b</v>
      </c>
    </row>
    <row r="530" spans="1:2">
      <c r="A530" s="283" t="s">
        <v>505</v>
      </c>
      <c r="B530" s="13" t="str">
        <f>IF(IntParts="","b",IF(ISBLANK(IntParts),"b",IF(IntParts=2,1,0)))</f>
        <v>b</v>
      </c>
    </row>
    <row r="531" spans="1:2">
      <c r="A531" s="283" t="s">
        <v>506</v>
      </c>
      <c r="B531" s="13" t="str">
        <f>IF(IntParts="","b",IF(ISBLANK(IntParts),"b",IF(IntParts=3,1,0)))</f>
        <v>b</v>
      </c>
    </row>
    <row r="532" spans="1:2">
      <c r="A532" s="292" t="s">
        <v>507</v>
      </c>
      <c r="B532" s="2" t="str">
        <f>IFERROR(B529+B530+B531,"b")</f>
        <v>b</v>
      </c>
    </row>
    <row r="533" spans="1:2">
      <c r="A533" s="258" t="s">
        <v>508</v>
      </c>
    </row>
    <row r="534" spans="1:2">
      <c r="A534" s="283" t="s">
        <v>509</v>
      </c>
      <c r="B534" s="13" t="str">
        <f>IF((NS_OTH&lt;&gt;NS),NS_SVC,"b")</f>
        <v>b</v>
      </c>
    </row>
    <row r="535" spans="1:2">
      <c r="A535" s="161" t="s">
        <v>510</v>
      </c>
    </row>
    <row r="536" spans="1:2">
      <c r="A536" s="283" t="s">
        <v>511</v>
      </c>
      <c r="B536" s="276">
        <v>1</v>
      </c>
    </row>
    <row r="537" spans="1:2">
      <c r="A537" s="292" t="s">
        <v>512</v>
      </c>
      <c r="B537" s="278" t="str">
        <f>IFERROR(SUM(COGS_SVC)/SUM(NS_SVC)*100,"B")</f>
        <v>B</v>
      </c>
    </row>
    <row r="538" spans="1:2">
      <c r="A538" s="283" t="s">
        <v>513</v>
      </c>
      <c r="B538" s="269" t="str">
        <f>IFERROR(((SUM(NS_SVC)-SUM(COGS_SVC))/SUM(NS_SVC)*100),"B")</f>
        <v>B</v>
      </c>
    </row>
    <row r="539" spans="1:2">
      <c r="A539" s="292" t="s">
        <v>514</v>
      </c>
      <c r="B539" s="279" t="str">
        <f>IFERROR(((PA_SVC)*(1+Burden_Pct)/(NS_SVC)*100),"B")</f>
        <v>B</v>
      </c>
    </row>
    <row r="540" spans="1:2">
      <c r="A540" s="292" t="s">
        <v>515</v>
      </c>
      <c r="B540" s="280" t="str">
        <f>IFERROR((NS_SVC)/NS*(OC)/(NS_SVC)*100,"B")</f>
        <v>B</v>
      </c>
    </row>
    <row r="541" spans="1:2">
      <c r="A541" s="292" t="s">
        <v>516</v>
      </c>
      <c r="B541" s="281" t="str">
        <f>IFERROR((NS_SVC)/NS*(TOE)/(NS_SVC)*100,"B")</f>
        <v>B</v>
      </c>
    </row>
    <row r="542" spans="1:2">
      <c r="A542" s="283" t="s">
        <v>517</v>
      </c>
      <c r="B542" s="282" t="str">
        <f>IFERROR(B539+B540+B541,"B")</f>
        <v>B</v>
      </c>
    </row>
    <row r="543" spans="1:2">
      <c r="A543" s="292" t="s">
        <v>518</v>
      </c>
      <c r="B543" s="286" t="str">
        <f>IFERROR((B538-B542)/100,"B")</f>
        <v>B</v>
      </c>
    </row>
    <row r="544" spans="1:2">
      <c r="A544" s="161" t="s">
        <v>519</v>
      </c>
    </row>
    <row r="545" spans="1:2">
      <c r="A545" s="1" t="s">
        <v>520</v>
      </c>
      <c r="B545" s="25" t="str">
        <f>IFERROR(IF((NS_SVC-COGS_SVC)=0,"B",(NS_SVC-COGS_SVC)),"B")</f>
        <v>B</v>
      </c>
    </row>
    <row r="546" spans="1:2">
      <c r="A546" s="292" t="s">
        <v>514</v>
      </c>
      <c r="B546" s="279" t="str">
        <f>IFERROR(((PA_SVC)*(1+Burden_Pct)/(SUM(NS_SVC)-SUM(COGS_SVC))*100),"B")</f>
        <v>B</v>
      </c>
    </row>
    <row r="547" spans="1:2">
      <c r="A547" s="292" t="s">
        <v>515</v>
      </c>
      <c r="B547" s="280" t="str">
        <f>IFERROR((NS_SVC)/NS*(OC)/(SUM(NS_SVC)-SUM(COGS_SVC))*100,"B")</f>
        <v>B</v>
      </c>
    </row>
    <row r="548" spans="1:2">
      <c r="A548" s="292" t="s">
        <v>516</v>
      </c>
      <c r="B548" s="281" t="str">
        <f>IFERROR((NS_SVC)/NS*(TOE)/(SUM(NS_SVC)-SUM(COGS_SVC))*100,"B")</f>
        <v>B</v>
      </c>
    </row>
    <row r="549" spans="1:2">
      <c r="A549" s="283" t="s">
        <v>517</v>
      </c>
      <c r="B549" s="282" t="str">
        <f>IFERROR(B546+B547+B548,"B")</f>
        <v>B</v>
      </c>
    </row>
    <row r="550" spans="1:2">
      <c r="A550" s="292" t="s">
        <v>518</v>
      </c>
      <c r="B550" s="286" t="str">
        <f>IFERROR((100-B549)/100,"B")</f>
        <v>B</v>
      </c>
    </row>
    <row r="551" spans="1:2">
      <c r="A551" s="161" t="s">
        <v>521</v>
      </c>
    </row>
    <row r="552" spans="1:2">
      <c r="A552" s="293" t="s">
        <v>522</v>
      </c>
      <c r="B552" s="13" t="str">
        <f>IF(ISBLANK(EMP_SVC),"b",EMP_SVC)</f>
        <v>b</v>
      </c>
    </row>
    <row r="553" spans="1:2">
      <c r="A553" s="293" t="s">
        <v>489</v>
      </c>
      <c r="B553" s="290" t="s">
        <v>409</v>
      </c>
    </row>
    <row r="554" spans="1:2">
      <c r="A554" s="293" t="s">
        <v>490</v>
      </c>
      <c r="B554" s="290" t="s">
        <v>409</v>
      </c>
    </row>
    <row r="555" spans="1:2">
      <c r="A555" s="293" t="s">
        <v>523</v>
      </c>
      <c r="B555" s="290" t="s">
        <v>409</v>
      </c>
    </row>
    <row r="556" spans="1:2">
      <c r="A556" s="293" t="s">
        <v>156</v>
      </c>
      <c r="B556" s="238" t="str">
        <f>IF(ISBLANK(EMP_Tech),"b",EMP_Tech)</f>
        <v>b</v>
      </c>
    </row>
    <row r="557" spans="1:2">
      <c r="A557" s="294" t="s">
        <v>524</v>
      </c>
      <c r="B557" s="412">
        <f>IFERROR(EMP_SVC+EMP_Tech,"B")</f>
        <v>0</v>
      </c>
    </row>
    <row r="558" spans="1:2">
      <c r="A558" s="283" t="s">
        <v>525</v>
      </c>
      <c r="B558" s="413" t="str">
        <f>IFERROR((NS_SVC)/(EMP_Tech),"B")</f>
        <v>B</v>
      </c>
    </row>
    <row r="559" spans="1:2">
      <c r="A559" s="283" t="s">
        <v>526</v>
      </c>
      <c r="B559" s="413" t="str">
        <f>IFERROR(((NS_SVC)-SUM(COGS_SVC))/(EMP_Tech),"B")</f>
        <v>B</v>
      </c>
    </row>
    <row r="560" spans="1:2" ht="15.3" thickBot="1">
      <c r="A560" s="283" t="s">
        <v>527</v>
      </c>
      <c r="B560" s="414" t="str">
        <f>IFERROR((EMP_Tech)/(Emp),"B")</f>
        <v>B</v>
      </c>
    </row>
    <row r="561" spans="1:2" ht="15.3" thickBot="1">
      <c r="A561" s="296" t="s">
        <v>528</v>
      </c>
      <c r="B561" s="297" t="s">
        <v>409</v>
      </c>
    </row>
    <row r="562" spans="1:2">
      <c r="A562" s="161" t="s">
        <v>529</v>
      </c>
    </row>
    <row r="563" spans="1:2">
      <c r="A563" s="283" t="s">
        <v>161</v>
      </c>
      <c r="B563" s="298" t="str">
        <f>IF(ISBLANK(SvcCalls),"b",SvcCalls)</f>
        <v>b</v>
      </c>
    </row>
    <row r="564" spans="1:2">
      <c r="A564" s="386" t="s">
        <v>530</v>
      </c>
      <c r="B564" s="393" t="str">
        <f>IFERROR((SvcCalls)/(EMP_Tech),"B")</f>
        <v>B</v>
      </c>
    </row>
    <row r="565" spans="1:2">
      <c r="A565" s="283" t="s">
        <v>162</v>
      </c>
      <c r="B565" s="299" t="str">
        <f>IF(ISBLANK(SvcVeh_),"b",SvcVeh_)</f>
        <v>b</v>
      </c>
    </row>
    <row r="566" spans="1:2">
      <c r="A566" s="386" t="s">
        <v>163</v>
      </c>
      <c r="B566" s="392" t="str">
        <f>IF(ISBLANK(SvcRecover),"b",SvcRecover)</f>
        <v>b</v>
      </c>
    </row>
    <row r="567" spans="1:2">
      <c r="A567" s="386" t="s">
        <v>531</v>
      </c>
      <c r="B567" s="391" t="str">
        <f>IFERROR((SvcRecover)/(SvcVeh_),"B")</f>
        <v>B</v>
      </c>
    </row>
    <row r="568" spans="1:2">
      <c r="A568" s="283" t="s">
        <v>532</v>
      </c>
      <c r="B568" s="301" t="str">
        <f>IF(ISBLANK(TechApplied),"b",TechApplied)</f>
        <v>b</v>
      </c>
    </row>
    <row r="569" spans="1:2">
      <c r="A569" s="283" t="s">
        <v>533</v>
      </c>
      <c r="B569" s="301" t="str">
        <f>IF(ISBLANK(TechBilled),"b",TechBilled)</f>
        <v>b</v>
      </c>
    </row>
    <row r="570" spans="1:2">
      <c r="A570" s="283" t="s">
        <v>534</v>
      </c>
      <c r="B570" s="301" t="str">
        <f>IF(ISBLANK(TechPaid),"b",TechPaid)</f>
        <v>b</v>
      </c>
    </row>
    <row r="571" spans="1:2">
      <c r="A571" s="283" t="s">
        <v>535</v>
      </c>
      <c r="B571" s="300" t="str">
        <f>IFERROR((TechBilled)/(TechPaid),"B")</f>
        <v>B</v>
      </c>
    </row>
    <row r="572" spans="1:2">
      <c r="A572" s="283" t="s">
        <v>536</v>
      </c>
      <c r="B572" s="302" t="str">
        <f>IFERROR((NS_SVC)/(TechBilled),"B")</f>
        <v>B</v>
      </c>
    </row>
    <row r="573" spans="1:2">
      <c r="A573" s="283" t="s">
        <v>537</v>
      </c>
      <c r="B573" s="302" t="str">
        <f>IFERROR((NS_SVC)/(TechApplied),"B")</f>
        <v>B</v>
      </c>
    </row>
    <row r="574" spans="1:2">
      <c r="A574" s="283" t="s">
        <v>538</v>
      </c>
      <c r="B574" s="301" t="str">
        <f>IF(ISBLANK(SvcJobs),"b",SvcJobs)</f>
        <v>b</v>
      </c>
    </row>
    <row r="575" spans="1:2">
      <c r="A575" s="384" t="s">
        <v>539</v>
      </c>
      <c r="B575" s="385"/>
    </row>
    <row r="576" spans="1:2">
      <c r="A576" s="386" t="s">
        <v>504</v>
      </c>
      <c r="B576" s="371" t="str">
        <f>IF(IntSvc="","b",IF(ISBLANK(IntSvc),"b",IF(IntSvc=1,1,0)))</f>
        <v>b</v>
      </c>
    </row>
    <row r="577" spans="1:2">
      <c r="A577" s="386" t="s">
        <v>505</v>
      </c>
      <c r="B577" s="371" t="str">
        <f>IF(IntSvc="","b",IF(ISBLANK(IntSvc),"b",IF(IntSvc=2,1,0)))</f>
        <v>b</v>
      </c>
    </row>
    <row r="578" spans="1:2">
      <c r="A578" s="386" t="s">
        <v>506</v>
      </c>
      <c r="B578" s="371" t="str">
        <f>IF(IntSvc="","b",IF(ISBLANK(IntSvc),"b",IF(IntSvc=3,1,0)))</f>
        <v>b</v>
      </c>
    </row>
    <row r="579" spans="1:2">
      <c r="A579" s="387" t="s">
        <v>507</v>
      </c>
      <c r="B579" s="388" t="str">
        <f>IFERROR(B576+B577+B578,"B")</f>
        <v>B</v>
      </c>
    </row>
    <row r="580" spans="1:2">
      <c r="A580" s="258" t="s">
        <v>540</v>
      </c>
    </row>
    <row r="581" spans="1:2">
      <c r="A581" s="283" t="s">
        <v>541</v>
      </c>
      <c r="B581" s="182" t="str">
        <f>IF((NS_OTH&lt;&gt;NS),NS_RENT,"b")</f>
        <v>b</v>
      </c>
    </row>
    <row r="582" spans="1:2">
      <c r="A582" s="161" t="s">
        <v>542</v>
      </c>
    </row>
    <row r="583" spans="1:2">
      <c r="A583" s="283" t="s">
        <v>543</v>
      </c>
      <c r="B583" s="276">
        <v>1</v>
      </c>
    </row>
    <row r="584" spans="1:2">
      <c r="A584" s="292" t="s">
        <v>544</v>
      </c>
      <c r="B584" s="278" t="str">
        <f>IFERROR(SUM(COGS_Rent)/SUM(NS_RENT)*100,"B")</f>
        <v>B</v>
      </c>
    </row>
    <row r="585" spans="1:2">
      <c r="A585" s="283" t="s">
        <v>545</v>
      </c>
      <c r="B585" s="269" t="str">
        <f>IFERROR(((SUM(NS_RENT)-SUM(COGS_Rent))/SUM(NS_RENT)*100),"B")</f>
        <v>B</v>
      </c>
    </row>
    <row r="586" spans="1:2">
      <c r="A586" s="292" t="s">
        <v>546</v>
      </c>
      <c r="B586" s="279" t="str">
        <f>IFERROR(((PA_Rental)*(1+Burden_Pct)/(NS_RENT)*100),"B")</f>
        <v>B</v>
      </c>
    </row>
    <row r="587" spans="1:2">
      <c r="A587" s="292" t="s">
        <v>547</v>
      </c>
      <c r="B587" s="280" t="str">
        <f>IFERROR((NS_RENT)/NS*(OC)/(NS_RENT)*100,"B")</f>
        <v>B</v>
      </c>
    </row>
    <row r="588" spans="1:2">
      <c r="A588" s="292" t="s">
        <v>548</v>
      </c>
      <c r="B588" s="281" t="str">
        <f>IFERROR((NS_RENT)/NS*(TOE)/(NS_RENT)*100,"B")</f>
        <v>B</v>
      </c>
    </row>
    <row r="589" spans="1:2">
      <c r="A589" s="283" t="s">
        <v>549</v>
      </c>
      <c r="B589" s="282" t="str">
        <f>IFERROR(B586+B587+B588,"B")</f>
        <v>B</v>
      </c>
    </row>
    <row r="590" spans="1:2">
      <c r="A590" s="292" t="s">
        <v>550</v>
      </c>
      <c r="B590" s="286" t="str">
        <f>IFERROR((B585-B589)/100,"B")</f>
        <v>B</v>
      </c>
    </row>
    <row r="591" spans="1:2">
      <c r="A591" s="161" t="s">
        <v>551</v>
      </c>
    </row>
    <row r="592" spans="1:2">
      <c r="A592" s="1" t="s">
        <v>552</v>
      </c>
      <c r="B592" s="25">
        <f>IFERROR((SUM(NS_RENT)-SUM(COGS_Rent)),"B")</f>
        <v>0</v>
      </c>
    </row>
    <row r="593" spans="1:2">
      <c r="A593" s="292" t="s">
        <v>546</v>
      </c>
      <c r="B593" s="279" t="str">
        <f>IFERROR(((PA_Rental)*(1+Burden_Pct)/(SUM(NS_RENT)-SUM(COGS_Rent))*100),"B")</f>
        <v>B</v>
      </c>
    </row>
    <row r="594" spans="1:2">
      <c r="A594" s="292" t="s">
        <v>547</v>
      </c>
      <c r="B594" s="280" t="str">
        <f>IFERROR((NS_RENT)/NS*(OC)/(SUM(NS_RENT)-SUM(COGS_Rent))*100,"B")</f>
        <v>B</v>
      </c>
    </row>
    <row r="595" spans="1:2">
      <c r="A595" s="292" t="s">
        <v>548</v>
      </c>
      <c r="B595" s="281" t="str">
        <f>IFERROR((NS_RENT)/NS*(TOE)/(SUM(NS_RENT)-SUM(COGS_Rent))*100,"B")</f>
        <v>B</v>
      </c>
    </row>
    <row r="596" spans="1:2">
      <c r="A596" s="283" t="s">
        <v>549</v>
      </c>
      <c r="B596" s="282" t="str">
        <f>IFERROR(B593+B594+B595,"B")</f>
        <v>B</v>
      </c>
    </row>
    <row r="597" spans="1:2">
      <c r="A597" s="292" t="s">
        <v>553</v>
      </c>
      <c r="B597" s="286" t="str">
        <f>IFERROR((100-B596)/100,"B")</f>
        <v>B</v>
      </c>
    </row>
    <row r="598" spans="1:2">
      <c r="A598" s="161" t="s">
        <v>554</v>
      </c>
    </row>
    <row r="599" spans="1:2">
      <c r="A599" s="293" t="s">
        <v>555</v>
      </c>
      <c r="B599" s="290" t="s">
        <v>409</v>
      </c>
    </row>
    <row r="600" spans="1:2">
      <c r="A600" s="293" t="s">
        <v>489</v>
      </c>
      <c r="B600" s="290" t="s">
        <v>409</v>
      </c>
    </row>
    <row r="601" spans="1:2">
      <c r="A601" s="293" t="s">
        <v>490</v>
      </c>
      <c r="B601" s="290" t="s">
        <v>409</v>
      </c>
    </row>
    <row r="602" spans="1:2">
      <c r="A602" s="293" t="s">
        <v>556</v>
      </c>
      <c r="B602" s="290" t="s">
        <v>409</v>
      </c>
    </row>
    <row r="603" spans="1:2">
      <c r="A603" s="293" t="s">
        <v>557</v>
      </c>
      <c r="B603" s="290" t="s">
        <v>409</v>
      </c>
    </row>
    <row r="604" spans="1:2">
      <c r="A604" s="294" t="s">
        <v>558</v>
      </c>
      <c r="B604" s="61" t="str">
        <f>IF(ISBLANK(EMP_Rental),"b",EMP_Rental)</f>
        <v>b</v>
      </c>
    </row>
    <row r="605" spans="1:2">
      <c r="A605" s="258" t="s">
        <v>559</v>
      </c>
    </row>
    <row r="606" spans="1:2" ht="15.3" thickBot="1">
      <c r="A606" s="283" t="s">
        <v>560</v>
      </c>
      <c r="B606" s="286" t="str">
        <f>IFERROR((EMP_Rental)/(Emp),"B")</f>
        <v>B</v>
      </c>
    </row>
    <row r="607" spans="1:2" ht="15.3" thickBot="1">
      <c r="A607" s="296"/>
      <c r="B607" s="297"/>
    </row>
    <row r="608" spans="1:2">
      <c r="A608" s="258" t="s">
        <v>561</v>
      </c>
    </row>
    <row r="609" spans="1:2">
      <c r="A609" s="283" t="s">
        <v>562</v>
      </c>
      <c r="B609" s="303" t="str">
        <f>IF(ISBLANK(STunits),"b",STunits)</f>
        <v>b</v>
      </c>
    </row>
    <row r="610" spans="1:2">
      <c r="A610" s="283" t="s">
        <v>563</v>
      </c>
      <c r="B610" s="299" t="str">
        <f>IF(ISBLANK(STvalue),"b",STvalue)</f>
        <v>b</v>
      </c>
    </row>
    <row r="611" spans="1:2">
      <c r="A611" s="283" t="s">
        <v>564</v>
      </c>
      <c r="B611" s="302" t="str">
        <f>IFERROR((NS_RENT)/(STunits),"B")</f>
        <v>B</v>
      </c>
    </row>
    <row r="612" spans="1:2">
      <c r="A612" s="283" t="s">
        <v>565</v>
      </c>
      <c r="B612" s="300" t="str">
        <f>IFERROR((NS_RENT)/(STvalue),"B")</f>
        <v>B</v>
      </c>
    </row>
    <row r="613" spans="1:2">
      <c r="A613" s="283" t="s">
        <v>566</v>
      </c>
      <c r="B613" s="300" t="str">
        <f>IFERROR((NS_RENT)/(Fixed),"B")</f>
        <v>B</v>
      </c>
    </row>
    <row r="614" spans="1:2">
      <c r="A614" s="283" t="s">
        <v>567</v>
      </c>
      <c r="B614" s="304" t="str">
        <f>IF(ISBLANK(STutil),"b",STutil/100)</f>
        <v>b</v>
      </c>
    </row>
    <row r="617" spans="1:2">
      <c r="A617" s="483" t="s">
        <v>672</v>
      </c>
      <c r="B617" s="484" t="str">
        <f>IFERROR(B231+B233,"B")</f>
        <v>B</v>
      </c>
    </row>
    <row r="618" spans="1:2">
      <c r="A618" s="483" t="s">
        <v>673</v>
      </c>
      <c r="B618" s="484" t="str">
        <f>IFERROR(B617-B225,"B")</f>
        <v>B</v>
      </c>
    </row>
    <row r="619" spans="1:2">
      <c r="A619" s="4"/>
    </row>
    <row r="620" spans="1:2">
      <c r="A620" s="4"/>
    </row>
    <row r="621" spans="1:2">
      <c r="A621" s="4"/>
    </row>
    <row r="622" spans="1:2">
      <c r="A622" s="4"/>
    </row>
    <row r="623" spans="1:2">
      <c r="A623" s="4"/>
    </row>
    <row r="624" spans="1:2">
      <c r="A624" s="4"/>
    </row>
    <row r="625" spans="1:1">
      <c r="A625" s="4"/>
    </row>
    <row r="626" spans="1:1">
      <c r="A626" s="4"/>
    </row>
    <row r="627" spans="1:1">
      <c r="A627" s="4"/>
    </row>
    <row r="628" spans="1:1">
      <c r="A628" s="4"/>
    </row>
    <row r="629" spans="1:1">
      <c r="A629" s="4"/>
    </row>
    <row r="630" spans="1:1">
      <c r="A630" s="4"/>
    </row>
    <row r="631" spans="1:1">
      <c r="A631" s="4"/>
    </row>
    <row r="632" spans="1:1">
      <c r="A632" s="4"/>
    </row>
    <row r="633" spans="1:1">
      <c r="A633" s="4"/>
    </row>
    <row r="634" spans="1:1">
      <c r="A634" s="4"/>
    </row>
    <row r="635" spans="1:1">
      <c r="A635" s="4"/>
    </row>
    <row r="636" spans="1:1">
      <c r="A636" s="4"/>
    </row>
    <row r="637" spans="1:1">
      <c r="A637" s="4"/>
    </row>
    <row r="638" spans="1:1">
      <c r="A638" s="4"/>
    </row>
    <row r="639" spans="1:1">
      <c r="A639" s="4"/>
    </row>
    <row r="640" spans="1:1">
      <c r="A640" s="4"/>
    </row>
    <row r="641" spans="1:2">
      <c r="A641" s="4"/>
    </row>
    <row r="642" spans="1:2">
      <c r="A642" s="4"/>
    </row>
    <row r="643" spans="1:2">
      <c r="A643" s="4"/>
    </row>
    <row r="644" spans="1:2">
      <c r="A644" s="4"/>
    </row>
    <row r="645" spans="1:2">
      <c r="A645" s="4"/>
    </row>
    <row r="646" spans="1:2">
      <c r="A646" s="1"/>
    </row>
    <row r="648" spans="1:2">
      <c r="A648" s="72"/>
    </row>
    <row r="649" spans="1:2">
      <c r="A649" s="4"/>
      <c r="B649" s="2"/>
    </row>
    <row r="650" spans="1:2">
      <c r="A650" s="4"/>
      <c r="B650" s="2"/>
    </row>
    <row r="651" spans="1:2">
      <c r="A651" s="4"/>
    </row>
    <row r="652" spans="1:2">
      <c r="A652" s="4"/>
    </row>
    <row r="653" spans="1:2">
      <c r="A653" s="72"/>
    </row>
    <row r="654" spans="1:2">
      <c r="A654" s="4"/>
      <c r="B654" s="276"/>
    </row>
    <row r="655" spans="1:2">
      <c r="A655" s="4"/>
      <c r="B655" s="276"/>
    </row>
    <row r="656" spans="1:2">
      <c r="A656" s="4"/>
      <c r="B656" s="276"/>
    </row>
    <row r="657" spans="1:2">
      <c r="A657" s="4"/>
      <c r="B657" s="276"/>
    </row>
    <row r="658" spans="1:2">
      <c r="A658" s="4"/>
      <c r="B658" s="276"/>
    </row>
    <row r="659" spans="1:2">
      <c r="A659" s="4"/>
      <c r="B659" s="276"/>
    </row>
    <row r="660" spans="1:2">
      <c r="A660" s="4"/>
      <c r="B660" s="276"/>
    </row>
    <row r="661" spans="1:2">
      <c r="A661" s="4"/>
      <c r="B661" s="276"/>
    </row>
    <row r="662" spans="1:2">
      <c r="A662" s="4"/>
      <c r="B662" s="276"/>
    </row>
    <row r="663" spans="1:2">
      <c r="A663" s="4"/>
      <c r="B663" s="276"/>
    </row>
    <row r="664" spans="1:2">
      <c r="A664" s="4"/>
      <c r="B664" s="276"/>
    </row>
    <row r="665" spans="1:2">
      <c r="A665" s="4"/>
      <c r="B665" s="276"/>
    </row>
    <row r="666" spans="1:2">
      <c r="A666" s="4"/>
      <c r="B666" s="276"/>
    </row>
    <row r="667" spans="1:2">
      <c r="A667" s="4"/>
      <c r="B667" s="276"/>
    </row>
    <row r="668" spans="1:2">
      <c r="A668" s="1"/>
      <c r="B668" s="276"/>
    </row>
    <row r="669" spans="1:2">
      <c r="A669" s="4"/>
      <c r="B669" s="276"/>
    </row>
    <row r="670" spans="1:2">
      <c r="A670" s="4"/>
      <c r="B670" s="276"/>
    </row>
    <row r="671" spans="1:2">
      <c r="A671" s="1"/>
      <c r="B671" s="276"/>
    </row>
    <row r="672" spans="1:2">
      <c r="A672" s="4"/>
      <c r="B672" s="276"/>
    </row>
    <row r="673" spans="1:2">
      <c r="A673" s="4"/>
      <c r="B673" s="276"/>
    </row>
    <row r="674" spans="1:2">
      <c r="A674" s="4"/>
      <c r="B674" s="276"/>
    </row>
    <row r="675" spans="1:2">
      <c r="A675" s="4"/>
      <c r="B675" s="276"/>
    </row>
    <row r="676" spans="1:2">
      <c r="A676" s="4"/>
      <c r="B676" s="305"/>
    </row>
    <row r="677" spans="1:2">
      <c r="A677" s="4"/>
      <c r="B677" s="306"/>
    </row>
    <row r="678" spans="1:2">
      <c r="A678" s="4"/>
      <c r="B678" s="306"/>
    </row>
    <row r="680" spans="1:2">
      <c r="A680" s="1"/>
      <c r="B680" s="4"/>
    </row>
    <row r="681" spans="1:2">
      <c r="A681" s="4"/>
      <c r="B681" s="306"/>
    </row>
    <row r="682" spans="1:2">
      <c r="A682" s="4"/>
      <c r="B682" s="306"/>
    </row>
    <row r="683" spans="1:2">
      <c r="A683" s="4"/>
      <c r="B683" s="306"/>
    </row>
    <row r="684" spans="1:2">
      <c r="A684" s="4"/>
      <c r="B684" s="306"/>
    </row>
    <row r="685" spans="1:2">
      <c r="A685" s="4"/>
      <c r="B685" s="306"/>
    </row>
    <row r="686" spans="1:2">
      <c r="A686" s="4"/>
      <c r="B686" s="306"/>
    </row>
    <row r="687" spans="1:2">
      <c r="A687" s="4"/>
      <c r="B687" s="306"/>
    </row>
    <row r="688" spans="1:2">
      <c r="A688" s="4"/>
      <c r="B688" s="306"/>
    </row>
    <row r="689" spans="1:2">
      <c r="A689" s="4"/>
      <c r="B689" s="306"/>
    </row>
    <row r="690" spans="1:2">
      <c r="A690" s="4"/>
      <c r="B690" s="306"/>
    </row>
    <row r="691" spans="1:2">
      <c r="A691" s="4"/>
      <c r="B691" s="306"/>
    </row>
    <row r="692" spans="1:2">
      <c r="A692" s="4"/>
      <c r="B692" s="306"/>
    </row>
    <row r="693" spans="1:2">
      <c r="A693" s="4"/>
      <c r="B693" s="306"/>
    </row>
    <row r="694" spans="1:2">
      <c r="A694" s="4"/>
      <c r="B694" s="306"/>
    </row>
    <row r="695" spans="1:2">
      <c r="A695" s="4"/>
      <c r="B695" s="306"/>
    </row>
    <row r="696" spans="1:2">
      <c r="A696" s="4"/>
      <c r="B696" s="306"/>
    </row>
    <row r="697" spans="1:2">
      <c r="A697" s="4"/>
      <c r="B697" s="306"/>
    </row>
    <row r="698" spans="1:2">
      <c r="A698" s="4"/>
      <c r="B698" s="306"/>
    </row>
    <row r="699" spans="1:2">
      <c r="A699" s="4"/>
      <c r="B699" s="306"/>
    </row>
    <row r="700" spans="1:2">
      <c r="A700" s="4"/>
      <c r="B700" s="306"/>
    </row>
  </sheetData>
  <phoneticPr fontId="0" type="noConversion"/>
  <pageMargins left="0.5" right="0.5" top="0.25" bottom="0.25" header="0.25" footer="0.2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183</vt:i4>
      </vt:variant>
    </vt:vector>
  </HeadingPairs>
  <TitlesOfParts>
    <vt:vector size="188" baseType="lpstr">
      <vt:lpstr>Industrial Truck DSC</vt:lpstr>
      <vt:lpstr>Confidentiality</vt:lpstr>
      <vt:lpstr>Deleted in 2022</vt:lpstr>
      <vt:lpstr>Print</vt:lpstr>
      <vt:lpstr>Data</vt:lpstr>
      <vt:lpstr>AAP</vt:lpstr>
      <vt:lpstr>AAR</vt:lpstr>
      <vt:lpstr>AD</vt:lpstr>
      <vt:lpstr>Add</vt:lpstr>
      <vt:lpstr>Addr1</vt:lpstr>
      <vt:lpstr>Addr2</vt:lpstr>
      <vt:lpstr>AgeNew</vt:lpstr>
      <vt:lpstr>AgeParts</vt:lpstr>
      <vt:lpstr>AgeSH</vt:lpstr>
      <vt:lpstr>AgeUsed</vt:lpstr>
      <vt:lpstr>AP</vt:lpstr>
      <vt:lpstr>AR</vt:lpstr>
      <vt:lpstr>AVG</vt:lpstr>
      <vt:lpstr>AVG_2</vt:lpstr>
      <vt:lpstr>BENE</vt:lpstr>
      <vt:lpstr>BENE_Pct</vt:lpstr>
      <vt:lpstr>Burden_Pct</vt:lpstr>
      <vt:lpstr>CA</vt:lpstr>
      <vt:lpstr>CA_2</vt:lpstr>
      <vt:lpstr>Cash</vt:lpstr>
      <vt:lpstr>City</vt:lpstr>
      <vt:lpstr>CL</vt:lpstr>
      <vt:lpstr>COGS</vt:lpstr>
      <vt:lpstr>COGS_2</vt:lpstr>
      <vt:lpstr>COGS_Counter</vt:lpstr>
      <vt:lpstr>COGS_ES</vt:lpstr>
      <vt:lpstr>COGS_New</vt:lpstr>
      <vt:lpstr>COGS_OTH</vt:lpstr>
      <vt:lpstr>COGS_Rent</vt:lpstr>
      <vt:lpstr>COGS_SH</vt:lpstr>
      <vt:lpstr>COGS_SVC</vt:lpstr>
      <vt:lpstr>COGS_Used</vt:lpstr>
      <vt:lpstr>CSH</vt:lpstr>
      <vt:lpstr>CUST</vt:lpstr>
      <vt:lpstr>Custdp</vt:lpstr>
      <vt:lpstr>DPR</vt:lpstr>
      <vt:lpstr>DROP</vt:lpstr>
      <vt:lpstr>eaddr</vt:lpstr>
      <vt:lpstr>Emp</vt:lpstr>
      <vt:lpstr>EMP_Exec</vt:lpstr>
      <vt:lpstr>EMP_Inside</vt:lpstr>
      <vt:lpstr>EMP_Out</vt:lpstr>
      <vt:lpstr>EMP_Parts</vt:lpstr>
      <vt:lpstr>EMP_PM</vt:lpstr>
      <vt:lpstr>EMP_Rental</vt:lpstr>
      <vt:lpstr>EMP_SVC</vt:lpstr>
      <vt:lpstr>EMP_Tech</vt:lpstr>
      <vt:lpstr>EMP_WHS</vt:lpstr>
      <vt:lpstr>End</vt:lpstr>
      <vt:lpstr>EngSys</vt:lpstr>
      <vt:lpstr>Eqty</vt:lpstr>
      <vt:lpstr>Equip</vt:lpstr>
      <vt:lpstr>Fixed</vt:lpstr>
      <vt:lpstr>GP</vt:lpstr>
      <vt:lpstr>GP_2</vt:lpstr>
      <vt:lpstr>GP_Counter</vt:lpstr>
      <vt:lpstr>GP_ES</vt:lpstr>
      <vt:lpstr>GP_Install</vt:lpstr>
      <vt:lpstr>GP_Internal</vt:lpstr>
      <vt:lpstr>GP_New</vt:lpstr>
      <vt:lpstr>GP_OTH</vt:lpstr>
      <vt:lpstr>GP_Rent</vt:lpstr>
      <vt:lpstr>GP_SH</vt:lpstr>
      <vt:lpstr>GP_SVC</vt:lpstr>
      <vt:lpstr>GP_Used</vt:lpstr>
      <vt:lpstr>GRP_INS</vt:lpstr>
      <vt:lpstr>Grp_Pct</vt:lpstr>
      <vt:lpstr>ID</vt:lpstr>
      <vt:lpstr>Ins</vt:lpstr>
      <vt:lpstr>Int</vt:lpstr>
      <vt:lpstr>IntParts</vt:lpstr>
      <vt:lpstr>IntSvc</vt:lpstr>
      <vt:lpstr>Inv</vt:lpstr>
      <vt:lpstr>INV_2</vt:lpstr>
      <vt:lpstr>Liab</vt:lpstr>
      <vt:lpstr>LIFO</vt:lpstr>
      <vt:lpstr>Loan</vt:lpstr>
      <vt:lpstr>LTL</vt:lpstr>
      <vt:lpstr>LTrucks</vt:lpstr>
      <vt:lpstr>MIS</vt:lpstr>
      <vt:lpstr>Name</vt:lpstr>
      <vt:lpstr>Net</vt:lpstr>
      <vt:lpstr>NEWINV</vt:lpstr>
      <vt:lpstr>NP</vt:lpstr>
      <vt:lpstr>NS</vt:lpstr>
      <vt:lpstr>NS_Counter</vt:lpstr>
      <vt:lpstr>NS_EQ</vt:lpstr>
      <vt:lpstr>NS_ES</vt:lpstr>
      <vt:lpstr>NS_New</vt:lpstr>
      <vt:lpstr>NS_OTH</vt:lpstr>
      <vt:lpstr>NS_RENT</vt:lpstr>
      <vt:lpstr>NS_SH</vt:lpstr>
      <vt:lpstr>NS_SVC</vt:lpstr>
      <vt:lpstr>NS_Used</vt:lpstr>
      <vt:lpstr>NW</vt:lpstr>
      <vt:lpstr>NW_2</vt:lpstr>
      <vt:lpstr>OC</vt:lpstr>
      <vt:lpstr>OC_GA</vt:lpstr>
      <vt:lpstr>OC_Parts</vt:lpstr>
      <vt:lpstr>OC_Rental</vt:lpstr>
      <vt:lpstr>OC_Sales</vt:lpstr>
      <vt:lpstr>OC_SVC</vt:lpstr>
      <vt:lpstr>Oca</vt:lpstr>
      <vt:lpstr>Ocl</vt:lpstr>
      <vt:lpstr>OCOGS</vt:lpstr>
      <vt:lpstr>OE</vt:lpstr>
      <vt:lpstr>OE_GA</vt:lpstr>
      <vt:lpstr>OE_Parts</vt:lpstr>
      <vt:lpstr>OE_Rental</vt:lpstr>
      <vt:lpstr>OE_Sales</vt:lpstr>
      <vt:lpstr>OE_SVC</vt:lpstr>
      <vt:lpstr>Oemp</vt:lpstr>
      <vt:lpstr>Oex</vt:lpstr>
      <vt:lpstr>OFA</vt:lpstr>
      <vt:lpstr>OI</vt:lpstr>
      <vt:lpstr>OINV</vt:lpstr>
      <vt:lpstr>OP</vt:lpstr>
      <vt:lpstr>OP_2</vt:lpstr>
      <vt:lpstr>OPROD</vt:lpstr>
      <vt:lpstr>Org</vt:lpstr>
      <vt:lpstr>OSAL</vt:lpstr>
      <vt:lpstr>PA</vt:lpstr>
      <vt:lpstr>PA_Adjust</vt:lpstr>
      <vt:lpstr>PA_Exec</vt:lpstr>
      <vt:lpstr>PA_GA</vt:lpstr>
      <vt:lpstr>PA_Inside</vt:lpstr>
      <vt:lpstr>PA_OTH</vt:lpstr>
      <vt:lpstr>PA_Out</vt:lpstr>
      <vt:lpstr>PA_Parts</vt:lpstr>
      <vt:lpstr>PA_PM</vt:lpstr>
      <vt:lpstr>PA_Rental</vt:lpstr>
      <vt:lpstr>PA_Sales</vt:lpstr>
      <vt:lpstr>PA_SVC</vt:lpstr>
      <vt:lpstr>PA_Tech</vt:lpstr>
      <vt:lpstr>PA_WHS</vt:lpstr>
      <vt:lpstr>PARTSINV</vt:lpstr>
      <vt:lpstr>PB_Bonus</vt:lpstr>
      <vt:lpstr>PBT</vt:lpstr>
      <vt:lpstr>PBT_2</vt:lpstr>
      <vt:lpstr>PDF</vt:lpstr>
      <vt:lpstr>Person</vt:lpstr>
      <vt:lpstr>Phone</vt:lpstr>
      <vt:lpstr>Prev</vt:lpstr>
      <vt:lpstr>Confidentiality!Print_Area</vt:lpstr>
      <vt:lpstr>Data!Print_Area</vt:lpstr>
      <vt:lpstr>'Industrial Truck DSC'!Print_Area</vt:lpstr>
      <vt:lpstr>Print!Print_Area</vt:lpstr>
      <vt:lpstr>PT</vt:lpstr>
      <vt:lpstr>PT_Pct</vt:lpstr>
      <vt:lpstr>Rent</vt:lpstr>
      <vt:lpstr>RentalCost</vt:lpstr>
      <vt:lpstr>RM</vt:lpstr>
      <vt:lpstr>SAL</vt:lpstr>
      <vt:lpstr>SAL_TOT</vt:lpstr>
      <vt:lpstr>SH</vt:lpstr>
      <vt:lpstr>State</vt:lpstr>
      <vt:lpstr>STunits</vt:lpstr>
      <vt:lpstr>STutil</vt:lpstr>
      <vt:lpstr>STvalue</vt:lpstr>
      <vt:lpstr>SvcCalls</vt:lpstr>
      <vt:lpstr>SvcJobs</vt:lpstr>
      <vt:lpstr>SvcRecover</vt:lpstr>
      <vt:lpstr>SvcVeh_</vt:lpstr>
      <vt:lpstr>TA</vt:lpstr>
      <vt:lpstr>TA_2</vt:lpstr>
      <vt:lpstr>Tax</vt:lpstr>
      <vt:lpstr>TE</vt:lpstr>
      <vt:lpstr>TechApplied</vt:lpstr>
      <vt:lpstr>TechBilled</vt:lpstr>
      <vt:lpstr>TechPaid</vt:lpstr>
      <vt:lpstr>TechWages</vt:lpstr>
      <vt:lpstr>Tele</vt:lpstr>
      <vt:lpstr>Title</vt:lpstr>
      <vt:lpstr>TOE</vt:lpstr>
      <vt:lpstr>TRN</vt:lpstr>
      <vt:lpstr>USEDINV</vt:lpstr>
      <vt:lpstr>UT</vt:lpstr>
      <vt:lpstr>VEH</vt:lpstr>
      <vt:lpstr>WHSCOGS</vt:lpstr>
      <vt:lpstr>WHSGP</vt:lpstr>
      <vt:lpstr>WHSNS</vt:lpstr>
      <vt:lpstr>Yr</vt:lpstr>
      <vt:lpstr>Zipcode</vt:lpstr>
    </vt:vector>
  </TitlesOfParts>
  <Company>Bates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Mackay</dc:creator>
  <cp:lastModifiedBy>John Mackay</cp:lastModifiedBy>
  <cp:lastPrinted>2021-10-09T15:19:16Z</cp:lastPrinted>
  <dcterms:created xsi:type="dcterms:W3CDTF">2000-09-29T21:49:52Z</dcterms:created>
  <dcterms:modified xsi:type="dcterms:W3CDTF">2025-02-07T15:36:08Z</dcterms:modified>
</cp:coreProperties>
</file>