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CF42" lockStructure="1"/>
  <bookViews>
    <workbookView xWindow="-120" yWindow="-120" windowWidth="28992" windowHeight="15720" tabRatio="587"/>
  </bookViews>
  <sheets>
    <sheet name="Engr Sys" sheetId="1" r:id="rId1"/>
    <sheet name="Confidentiality" sheetId="12" r:id="rId2"/>
    <sheet name="Data" sheetId="18" state="hidden" r:id="rId3"/>
  </sheets>
  <definedNames>
    <definedName name="AAP">Data!$A$63</definedName>
    <definedName name="AAR">Data!$A$61</definedName>
    <definedName name="AD">'Engr Sys'!$T$65</definedName>
    <definedName name="Add">Data!$B$69</definedName>
    <definedName name="Addr1">'Engr Sys'!$P$20</definedName>
    <definedName name="Addr2">'Engr Sys'!$P$21</definedName>
    <definedName name="AgeNew">Data!$A$64</definedName>
    <definedName name="AgeParts">Data!$A$66</definedName>
    <definedName name="AgeSH">Data!$A$67</definedName>
    <definedName name="AgeUsed">Data!$A$65</definedName>
    <definedName name="AP">Data!$A$85</definedName>
    <definedName name="AR">Data!$A$72</definedName>
    <definedName name="AVG">Data!$A$62</definedName>
    <definedName name="AVG_2">Data!$A$202</definedName>
    <definedName name="BENE">'Engr Sys'!$T$52</definedName>
    <definedName name="BENE_Pct">Data!$B$180</definedName>
    <definedName name="Burden_Pct">Data!$B$181</definedName>
    <definedName name="CA">Data!$A$79</definedName>
    <definedName name="CA_2">Data!$A$204</definedName>
    <definedName name="Cash">Data!$A$71</definedName>
    <definedName name="City">'Engr Sys'!$P$22</definedName>
    <definedName name="CL">Data!$A$88</definedName>
    <definedName name="COGS">'Engr Sys'!$T$45</definedName>
    <definedName name="COGS_2">Data!$B$207</definedName>
    <definedName name="COGS_Counter">'Engr Sys'!$T$83</definedName>
    <definedName name="COGS_ES">'Engr Sys'!$T$82</definedName>
    <definedName name="COGS_Install">'Engr Sys'!$T$86</definedName>
    <definedName name="COGS_New">'Engr Sys'!$T$79</definedName>
    <definedName name="COGS_OTH">'Engr Sys'!$T$87</definedName>
    <definedName name="COGS_Rent">'Engr Sys'!$T$85</definedName>
    <definedName name="COGS_SH">'Engr Sys'!$T$81</definedName>
    <definedName name="COGS_SVC">'Engr Sys'!$T$84</definedName>
    <definedName name="COGS_Used">'Engr Sys'!$T$80</definedName>
    <definedName name="CSH">Data!$B$212</definedName>
    <definedName name="CUST">Data!$A$16</definedName>
    <definedName name="DownPmt">'Engr Sys'!$V$43</definedName>
    <definedName name="DPR">'Engr Sys'!$T$62</definedName>
    <definedName name="DROP">Data!$B$213</definedName>
    <definedName name="eaddr">'Engr Sys'!$P$26</definedName>
    <definedName name="Emp">'Engr Sys'!$T$39</definedName>
    <definedName name="EMP_Exec">'Engr Sys'!$T$32</definedName>
    <definedName name="EMP_Inside">'Engr Sys'!$T$34</definedName>
    <definedName name="EMP_Out">'Engr Sys'!$T$33</definedName>
    <definedName name="EMP_Parts">'Engr Sys'!$U$34</definedName>
    <definedName name="EMP_PM">'Engr Sys'!$T$35</definedName>
    <definedName name="EMP_Rental">'Engr Sys'!$T$35</definedName>
    <definedName name="EMP_SVC">'Engr Sys'!$U$35</definedName>
    <definedName name="EMP_Tech">'Engr Sys'!$T$36</definedName>
    <definedName name="EMP_WHS">'Engr Sys'!$T$37</definedName>
    <definedName name="End">Data!$A$70</definedName>
    <definedName name="EngSys">Data!$B$148</definedName>
    <definedName name="Eqty">Data!$A$91</definedName>
    <definedName name="Equip">Data!$A$97</definedName>
    <definedName name="FinalPmt">'Engr Sys'!$V$44</definedName>
    <definedName name="Fixed">Data!$A$82</definedName>
    <definedName name="GP">'Engr Sys'!$T$46</definedName>
    <definedName name="GP_2">Data!$B$208</definedName>
    <definedName name="GP_Counter">Data!$B$173</definedName>
    <definedName name="GP_ES">Data!$B$172</definedName>
    <definedName name="GP_Install">Data!$B$176</definedName>
    <definedName name="GP_New">Data!$B$169</definedName>
    <definedName name="GP_OTH">Data!$B$177</definedName>
    <definedName name="GP_Rent">Data!$B$175</definedName>
    <definedName name="GP_Repair">Data!$B$521</definedName>
    <definedName name="GP_SH">Data!$B$171</definedName>
    <definedName name="GP_SVC">Data!$B$174</definedName>
    <definedName name="GP_Used">Data!$B$170</definedName>
    <definedName name="GP_Warranty">Data!$B$523</definedName>
    <definedName name="GRP_INS">'Engr Sys'!$T$51</definedName>
    <definedName name="Grp_Pct">Data!$B$179</definedName>
    <definedName name="ID">'Engr Sys'!$T$16</definedName>
    <definedName name="Ins">'Engr Sys'!$T$61</definedName>
    <definedName name="Int">'Engr Sys'!$T$71</definedName>
    <definedName name="IntParts">Data!$A$17</definedName>
    <definedName name="IntSvc">Data!$A$18</definedName>
    <definedName name="Inv">Data!$A$77</definedName>
    <definedName name="INV_2">Data!$B$203</definedName>
    <definedName name="Liab">Data!$A$92</definedName>
    <definedName name="LIFO">Data!$A$68</definedName>
    <definedName name="Loan">Data!$A$90</definedName>
    <definedName name="LTL">Data!$A$89</definedName>
    <definedName name="LTrucks">Data!$B$147</definedName>
    <definedName name="MIS">'Engr Sys'!$T$64</definedName>
    <definedName name="Name">'Engr Sys'!$P$19</definedName>
    <definedName name="Net">'Engr Sys'!$T$75</definedName>
    <definedName name="NEWINV">Data!$A$73</definedName>
    <definedName name="NP">Data!$A$86</definedName>
    <definedName name="NS">'Engr Sys'!$T$44</definedName>
    <definedName name="NS_Counter">'Engr Sys'!$R$83</definedName>
    <definedName name="NS_ES">'Engr Sys'!$R$82</definedName>
    <definedName name="NS_Install">'Engr Sys'!$R$86</definedName>
    <definedName name="NS_New">'Engr Sys'!$R$79</definedName>
    <definedName name="NS_OTH">'Engr Sys'!$R$87</definedName>
    <definedName name="NS_RENT">'Engr Sys'!$R$85</definedName>
    <definedName name="NS_SH">'Engr Sys'!$R$81</definedName>
    <definedName name="NS_SVC">'Engr Sys'!$R$84</definedName>
    <definedName name="NS_Used">'Engr Sys'!$R$80</definedName>
    <definedName name="NW">Data!$A$93</definedName>
    <definedName name="NW_2">Data!$B$206</definedName>
    <definedName name="OC">'Engr Sys'!$T$58</definedName>
    <definedName name="OC_GA">Data!$A$191</definedName>
    <definedName name="OC_Parts">Data!$A$188</definedName>
    <definedName name="OC_Rental">Data!$A$190</definedName>
    <definedName name="OC_Sales">Data!$A$187</definedName>
    <definedName name="OC_SVC">Data!$A$189</definedName>
    <definedName name="Oca">Data!$A$78</definedName>
    <definedName name="Ocl">Data!$A$87</definedName>
    <definedName name="OCOGS">Data!$A$100</definedName>
    <definedName name="OE">'Engr Sys'!$T$66</definedName>
    <definedName name="OE_GA">Data!$A$196</definedName>
    <definedName name="OE_Parts">Data!$A$193</definedName>
    <definedName name="OE_Rental">Data!$A$195</definedName>
    <definedName name="OE_Sales">Data!$A$192</definedName>
    <definedName name="OE_SVC">Data!$A$194</definedName>
    <definedName name="Oemp">'Engr Sys'!$T$38</definedName>
    <definedName name="Oex">'Engr Sys'!$T$72</definedName>
    <definedName name="OFA">Data!$A$83</definedName>
    <definedName name="OI">'Engr Sys'!$T$70</definedName>
    <definedName name="OINV">Data!$A$76</definedName>
    <definedName name="OP">'Engr Sys'!$T$69</definedName>
    <definedName name="OP_2">Data!$B$209</definedName>
    <definedName name="OPROD">Data!$B$150</definedName>
    <definedName name="Org">Data!$V$27</definedName>
    <definedName name="OSAL">Data!$A$114</definedName>
    <definedName name="PA">'Engr Sys'!$T$53</definedName>
    <definedName name="PA_Adjust">Data!$B$110</definedName>
    <definedName name="PA_Exec">'Engr Sys'!$V$30</definedName>
    <definedName name="PA_GA">'Engr Sys'!$V$34</definedName>
    <definedName name="PA_Inside">'Engr Sys'!$V$32</definedName>
    <definedName name="PA_OTH">'Engr Sys'!$V$41</definedName>
    <definedName name="PA_Out">'Engr Sys'!$V$31</definedName>
    <definedName name="PA_Parts">'Engr Sys'!$V$39</definedName>
    <definedName name="PA_PM">'Engr Sys'!$V$35</definedName>
    <definedName name="PA_Rental">'Engr Sys'!$V$40</definedName>
    <definedName name="PA_Sales">'Engr Sys'!$V$33</definedName>
    <definedName name="PA_SVC">'Engr Sys'!$V$38</definedName>
    <definedName name="PA_Tech">'Engr Sys'!$V$36</definedName>
    <definedName name="PA_WHS">'Engr Sys'!$V$37</definedName>
    <definedName name="PARTSINV">Data!$A$75</definedName>
    <definedName name="PBT">'Engr Sys'!$T$73</definedName>
    <definedName name="PBT_2">Data!$B$210</definedName>
    <definedName name="PDF">'Engr Sys'!$P$27</definedName>
    <definedName name="Person">'Engr Sys'!$P$17</definedName>
    <definedName name="Phone">'Engr Sys'!$P$25</definedName>
    <definedName name="Prev">'Engr Sys'!$T$41</definedName>
    <definedName name="_xlnm.Print_Area" localSheetId="1">Confidentiality!$A$1:$K$39</definedName>
    <definedName name="_xlnm.Print_Area" localSheetId="2">Data!$A$1:$B$84</definedName>
    <definedName name="_xlnm.Print_Area" localSheetId="0">'Engr Sys'!$A$1:$T$88</definedName>
    <definedName name="PT">'Engr Sys'!$T$50</definedName>
    <definedName name="PT_Pct">Data!$B$178</definedName>
    <definedName name="Rent">'Engr Sys'!$T$57</definedName>
    <definedName name="RentalCost">Data!$A$99</definedName>
    <definedName name="RM">'Engr Sys'!$T$56</definedName>
    <definedName name="SAL">'Engr Sys'!$T$49</definedName>
    <definedName name="SAL_TOT">'Engr Sys'!$V$42</definedName>
    <definedName name="SH">Data!$B$149</definedName>
    <definedName name="State">'Engr Sys'!$P$23</definedName>
    <definedName name="STOCK">'Engr Sys'!$V$48</definedName>
    <definedName name="STunits">'Engr Sys'!$V$49</definedName>
    <definedName name="STutil">'Engr Sys'!$V$50</definedName>
    <definedName name="STvalue">'Engr Sys'!$V$51</definedName>
    <definedName name="SvcCalls">'Engr Sys'!$V$52</definedName>
    <definedName name="SvcJobs">'Engr Sys'!$V$53</definedName>
    <definedName name="SvcRecover">'Engr Sys'!$V$58</definedName>
    <definedName name="SvcVeh_">'Engr Sys'!$V$67</definedName>
    <definedName name="TA">Data!$A$84</definedName>
    <definedName name="TA_2">Data!$B$205</definedName>
    <definedName name="Tax">'Engr Sys'!$T$74</definedName>
    <definedName name="TE">'Engr Sys'!$T$68</definedName>
    <definedName name="TechApplied">'Engr Sys'!$V$45</definedName>
    <definedName name="TechBilled">'Engr Sys'!$V$46</definedName>
    <definedName name="TechPaid">'Engr Sys'!$V$47</definedName>
    <definedName name="TechWages">Data!$A$98</definedName>
    <definedName name="Tele">Data!$D$230</definedName>
    <definedName name="Title">'Engr Sys'!$P$18</definedName>
    <definedName name="TOE">'Engr Sys'!$T$67</definedName>
    <definedName name="TRN">'Engr Sys'!$T$63</definedName>
    <definedName name="USEDINV">Data!$A$74</definedName>
    <definedName name="UT">'Engr Sys'!$T$55</definedName>
    <definedName name="VEH">'Engr Sys'!$T$60</definedName>
    <definedName name="WHSCOGS">Data!$B$198</definedName>
    <definedName name="WHSGP">Data!$B$199</definedName>
    <definedName name="WHSNS">Data!$B$197</definedName>
    <definedName name="Yr">'Engr Sys'!$K$4</definedName>
    <definedName name="Zipcode">'Engr Sys'!$P$24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8" l="1"/>
  <c r="M2" i="18"/>
  <c r="L2" i="18"/>
  <c r="K2" i="18"/>
  <c r="J2" i="18"/>
  <c r="G2" i="18"/>
  <c r="E2" i="18"/>
  <c r="F2" i="18"/>
  <c r="C2" i="18"/>
  <c r="B625" i="18"/>
  <c r="B624" i="18"/>
  <c r="B623" i="18"/>
  <c r="B622" i="18"/>
  <c r="B621" i="18"/>
  <c r="B619" i="18"/>
  <c r="B617" i="18"/>
  <c r="B393" i="18"/>
  <c r="B384" i="18"/>
  <c r="B594" i="18"/>
  <c r="B595" i="18"/>
  <c r="B585" i="18"/>
  <c r="B469" i="18"/>
  <c r="B468" i="18"/>
  <c r="B467" i="18"/>
  <c r="B465" i="18"/>
  <c r="B435" i="18"/>
  <c r="B414" i="18"/>
  <c r="B614" i="18"/>
  <c r="B613" i="18"/>
  <c r="B612" i="18"/>
  <c r="B611" i="18"/>
  <c r="B610" i="18"/>
  <c r="B604" i="18"/>
  <c r="B592" i="18"/>
  <c r="B587" i="18"/>
  <c r="B588" i="18"/>
  <c r="B584" i="18"/>
  <c r="B574" i="18"/>
  <c r="B573" i="18"/>
  <c r="B572" i="18"/>
  <c r="B571" i="18"/>
  <c r="B569" i="18"/>
  <c r="B568" i="18"/>
  <c r="B567" i="18"/>
  <c r="B566" i="18"/>
  <c r="B565" i="18"/>
  <c r="B564" i="18"/>
  <c r="B563" i="18"/>
  <c r="B559" i="18"/>
  <c r="B558" i="18"/>
  <c r="B557" i="18"/>
  <c r="B552" i="18"/>
  <c r="B547" i="18"/>
  <c r="B548" i="18"/>
  <c r="B545" i="18"/>
  <c r="B538" i="18"/>
  <c r="B540" i="18"/>
  <c r="B541" i="18"/>
  <c r="B537" i="18"/>
  <c r="B527" i="18"/>
  <c r="B526" i="18"/>
  <c r="B512" i="18"/>
  <c r="B511" i="18"/>
  <c r="B499" i="18"/>
  <c r="B500" i="18"/>
  <c r="B497" i="18"/>
  <c r="B490" i="18"/>
  <c r="B492" i="18"/>
  <c r="B493" i="18"/>
  <c r="B489" i="18"/>
  <c r="B483" i="18"/>
  <c r="B482" i="18"/>
  <c r="B476" i="18"/>
  <c r="B475" i="18"/>
  <c r="B474" i="18"/>
  <c r="B473" i="18"/>
  <c r="B470" i="18"/>
  <c r="B464" i="18"/>
  <c r="B463" i="18"/>
  <c r="B462" i="18"/>
  <c r="B461" i="18"/>
  <c r="B456" i="18"/>
  <c r="B457" i="18"/>
  <c r="B448" i="18"/>
  <c r="B450" i="18"/>
  <c r="B451" i="18"/>
  <c r="B447" i="18"/>
  <c r="B439" i="18"/>
  <c r="B440" i="18"/>
  <c r="B438" i="18"/>
  <c r="B437" i="18"/>
  <c r="B208" i="18"/>
  <c r="B258" i="18" s="1"/>
  <c r="B423" i="18"/>
  <c r="B425" i="18"/>
  <c r="B426" i="18"/>
  <c r="B422" i="18"/>
  <c r="B416" i="18"/>
  <c r="B417" i="18"/>
  <c r="B413" i="18"/>
  <c r="B412" i="18"/>
  <c r="B197" i="18"/>
  <c r="B198" i="18"/>
  <c r="B233" i="18" s="1"/>
  <c r="B403" i="18"/>
  <c r="B404" i="18"/>
  <c r="B175" i="18"/>
  <c r="B397" i="18" s="1"/>
  <c r="B174" i="18"/>
  <c r="B396" i="18" s="1"/>
  <c r="B173" i="18"/>
  <c r="B392" i="18" s="1"/>
  <c r="B172" i="18"/>
  <c r="B390" i="18" s="1"/>
  <c r="B171" i="18"/>
  <c r="B389" i="18" s="1"/>
  <c r="B170" i="18"/>
  <c r="B388" i="18" s="1"/>
  <c r="B169" i="18"/>
  <c r="B387" i="18" s="1"/>
  <c r="B383" i="18"/>
  <c r="B382" i="18"/>
  <c r="B378" i="18"/>
  <c r="B377" i="18"/>
  <c r="B376" i="18"/>
  <c r="B375" i="18"/>
  <c r="B374" i="18"/>
  <c r="B373" i="18"/>
  <c r="B371" i="18"/>
  <c r="B370" i="18"/>
  <c r="B203" i="18"/>
  <c r="B224" i="18" s="1"/>
  <c r="B296" i="18"/>
  <c r="B295" i="18"/>
  <c r="B294" i="18"/>
  <c r="B291" i="18"/>
  <c r="B290" i="18"/>
  <c r="B286" i="18"/>
  <c r="B285" i="18"/>
  <c r="B284" i="18"/>
  <c r="B283" i="18"/>
  <c r="B282" i="18"/>
  <c r="B281" i="18"/>
  <c r="B280" i="18"/>
  <c r="B279" i="18"/>
  <c r="B278" i="18"/>
  <c r="B277" i="18"/>
  <c r="B276" i="18"/>
  <c r="B274" i="18"/>
  <c r="B273" i="18"/>
  <c r="B272" i="18"/>
  <c r="B268" i="18"/>
  <c r="B267" i="18"/>
  <c r="B265" i="18"/>
  <c r="B264" i="18"/>
  <c r="B263" i="18"/>
  <c r="B262" i="18"/>
  <c r="B261" i="18"/>
  <c r="B260" i="18"/>
  <c r="B259" i="18"/>
  <c r="B207" i="18"/>
  <c r="B257" i="18" s="1"/>
  <c r="B252" i="18"/>
  <c r="B236" i="18"/>
  <c r="B214" i="18"/>
  <c r="B211" i="18"/>
  <c r="B195" i="18"/>
  <c r="B194" i="18"/>
  <c r="B193" i="18"/>
  <c r="B192" i="18"/>
  <c r="B190" i="18"/>
  <c r="B189" i="18"/>
  <c r="B188" i="18"/>
  <c r="B187" i="18"/>
  <c r="B186" i="18"/>
  <c r="B184" i="18"/>
  <c r="B182" i="18"/>
  <c r="B176" i="18"/>
  <c r="B391" i="18" s="1"/>
  <c r="B146" i="18"/>
  <c r="B145" i="18"/>
  <c r="B140" i="18"/>
  <c r="B139" i="18"/>
  <c r="B138" i="18"/>
  <c r="B135" i="18"/>
  <c r="B130" i="18"/>
  <c r="B129" i="18"/>
  <c r="B128" i="18"/>
  <c r="B127" i="18"/>
  <c r="B126" i="18"/>
  <c r="B125" i="18"/>
  <c r="B124" i="18"/>
  <c r="B123" i="18"/>
  <c r="B122" i="18"/>
  <c r="B120" i="18"/>
  <c r="B118" i="18"/>
  <c r="B117" i="18"/>
  <c r="B116" i="18"/>
  <c r="B113" i="18"/>
  <c r="B112" i="18"/>
  <c r="B111" i="18"/>
  <c r="B109" i="18"/>
  <c r="B108" i="18"/>
  <c r="B105" i="18"/>
  <c r="B104" i="18"/>
  <c r="B103" i="18"/>
  <c r="B102" i="18"/>
  <c r="B101" i="18"/>
  <c r="B96" i="18"/>
  <c r="B95" i="18"/>
  <c r="B90" i="18"/>
  <c r="B89" i="18"/>
  <c r="B86" i="18"/>
  <c r="B82" i="18"/>
  <c r="B77" i="18"/>
  <c r="B76" i="18"/>
  <c r="B75" i="18"/>
  <c r="B74" i="18"/>
  <c r="B73" i="18"/>
  <c r="B70" i="18"/>
  <c r="B68" i="18"/>
  <c r="B62" i="18"/>
  <c r="B53" i="18"/>
  <c r="B52" i="18"/>
  <c r="B51" i="18"/>
  <c r="B50" i="18"/>
  <c r="B49" i="18"/>
  <c r="B48" i="18"/>
  <c r="B47" i="18"/>
  <c r="B46" i="18"/>
  <c r="B45" i="18"/>
  <c r="B44" i="18"/>
  <c r="B42" i="18"/>
  <c r="B41" i="18"/>
  <c r="B38" i="18"/>
  <c r="B37" i="18"/>
  <c r="B36" i="18"/>
  <c r="B33" i="18"/>
  <c r="B32" i="18"/>
  <c r="B31" i="18"/>
  <c r="B30" i="18"/>
  <c r="B27" i="18"/>
  <c r="B26" i="18"/>
  <c r="B25" i="18"/>
  <c r="B23" i="18"/>
  <c r="B22" i="18"/>
  <c r="B21" i="18"/>
  <c r="B20" i="18"/>
  <c r="B19" i="18"/>
  <c r="B15" i="18"/>
  <c r="B11" i="18"/>
  <c r="B3" i="18"/>
  <c r="B1" i="18"/>
  <c r="M43" i="1"/>
  <c r="T46" i="1"/>
  <c r="B40" i="18"/>
  <c r="B39" i="18"/>
  <c r="T49" i="1"/>
  <c r="B178" i="18" s="1"/>
  <c r="R87" i="1"/>
  <c r="B154" i="18" s="1"/>
  <c r="T87" i="1"/>
  <c r="B164" i="18" s="1"/>
  <c r="R88" i="1"/>
  <c r="T88" i="1"/>
  <c r="L41" i="1"/>
  <c r="T39" i="1"/>
  <c r="B24" i="18" s="1"/>
  <c r="B253" i="18"/>
  <c r="B99" i="18"/>
  <c r="B196" i="18"/>
  <c r="B191" i="18"/>
  <c r="B254" i="18"/>
  <c r="B100" i="18"/>
  <c r="B28" i="18"/>
  <c r="B245" i="18"/>
  <c r="B168" i="18"/>
  <c r="B97" i="18"/>
  <c r="B98" i="18"/>
  <c r="B234" i="18"/>
  <c r="B443" i="18"/>
  <c r="B255" i="18"/>
  <c r="B256" i="18"/>
  <c r="B162" i="18"/>
  <c r="B92" i="18"/>
  <c r="B78" i="18"/>
  <c r="B79" i="18"/>
  <c r="B91" i="18"/>
  <c r="B204" i="18"/>
  <c r="B241" i="18"/>
  <c r="B87" i="18"/>
  <c r="B88" i="18"/>
  <c r="B85" i="18"/>
  <c r="B231" i="18"/>
  <c r="B61" i="18"/>
  <c r="B479" i="18"/>
  <c r="B65" i="18"/>
  <c r="B478" i="18"/>
  <c r="B64" i="18"/>
  <c r="B83" i="18"/>
  <c r="B84" i="18"/>
  <c r="B205" i="18"/>
  <c r="B354" i="18" s="1"/>
  <c r="B355" i="18"/>
  <c r="B63" i="18"/>
  <c r="B66" i="18"/>
  <c r="B525" i="18"/>
  <c r="B72" i="18"/>
  <c r="B206" i="18"/>
  <c r="B67" i="18"/>
  <c r="B362" i="18"/>
  <c r="B359" i="18"/>
  <c r="B221" i="18"/>
  <c r="B347" i="18"/>
  <c r="B346" i="18"/>
  <c r="B361" i="18"/>
  <c r="B351" i="18"/>
  <c r="B216" i="18"/>
  <c r="B222" i="18"/>
  <c r="B239" i="18"/>
  <c r="B223" i="18"/>
  <c r="B71" i="18"/>
  <c r="B345" i="18"/>
  <c r="B320" i="18"/>
  <c r="B326" i="18"/>
  <c r="B302" i="18"/>
  <c r="B317" i="18"/>
  <c r="B327" i="18"/>
  <c r="B322" i="18"/>
  <c r="B308" i="18"/>
  <c r="B303" i="18"/>
  <c r="B306" i="18"/>
  <c r="B202" i="18"/>
  <c r="B225" i="18" l="1"/>
  <c r="B161" i="18"/>
  <c r="B199" i="18"/>
  <c r="B408" i="18" s="1"/>
  <c r="B166" i="18"/>
  <c r="B148" i="18"/>
  <c r="B156" i="18"/>
  <c r="B153" i="18"/>
  <c r="B151" i="18"/>
  <c r="B150" i="18"/>
  <c r="B159" i="18"/>
  <c r="B534" i="18"/>
  <c r="B158" i="18"/>
  <c r="B486" i="18"/>
  <c r="B163" i="18"/>
  <c r="B167" i="18"/>
  <c r="B165" i="18"/>
  <c r="B444" i="18"/>
  <c r="B155" i="18"/>
  <c r="B379" i="18"/>
  <c r="B405" i="18"/>
  <c r="B581" i="18"/>
  <c r="B430" i="18"/>
  <c r="B232" i="18"/>
  <c r="B149" i="18"/>
  <c r="B409" i="18"/>
  <c r="B179" i="18"/>
  <c r="B360" i="18"/>
  <c r="B246" i="18"/>
  <c r="B348" i="18"/>
  <c r="B357" i="18"/>
  <c r="B365" i="18" s="1"/>
  <c r="B606" i="18"/>
  <c r="B157" i="18"/>
  <c r="T53" i="1"/>
  <c r="B250" i="18" s="1"/>
  <c r="B29" i="18"/>
  <c r="B560" i="18"/>
  <c r="B271" i="18"/>
  <c r="B110" i="18"/>
  <c r="B309" i="18" s="1"/>
  <c r="B353" i="18"/>
  <c r="B350" i="18"/>
  <c r="B226" i="18"/>
  <c r="B334" i="18"/>
  <c r="B319" i="18"/>
  <c r="B406" i="18"/>
  <c r="B620" i="18"/>
  <c r="B337" i="18"/>
  <c r="B328" i="18"/>
  <c r="B305" i="18"/>
  <c r="B352" i="18"/>
  <c r="B247" i="18"/>
  <c r="B177" i="18"/>
  <c r="B398" i="18" s="1"/>
  <c r="B152" i="18"/>
  <c r="B115" i="18"/>
  <c r="B311" i="18"/>
  <c r="B399" i="18"/>
  <c r="B339" i="18"/>
  <c r="B329" i="18"/>
  <c r="B316" i="18"/>
  <c r="B321" i="18"/>
  <c r="B618" i="18"/>
  <c r="B235" i="18"/>
  <c r="B180" i="18"/>
  <c r="B338" i="18"/>
  <c r="B304" i="18"/>
  <c r="B218" i="18"/>
  <c r="B356" i="18"/>
  <c r="B324" i="18"/>
  <c r="B323" i="18"/>
  <c r="B429" i="18"/>
  <c r="B266" i="18"/>
  <c r="B310" i="18"/>
  <c r="B325" i="18"/>
  <c r="B358" i="18"/>
  <c r="B333" i="18"/>
  <c r="B315" i="18"/>
  <c r="B307" i="18"/>
  <c r="B314" i="18"/>
  <c r="B364" i="18"/>
  <c r="B363" i="18"/>
  <c r="B147" i="18"/>
  <c r="B160" i="18"/>
  <c r="B181" i="18" l="1"/>
  <c r="B248" i="18"/>
  <c r="B249" i="18"/>
  <c r="T68" i="1"/>
  <c r="B119" i="18"/>
  <c r="B318" i="18"/>
  <c r="B275" i="18"/>
  <c r="B539" i="18"/>
  <c r="B542" i="18" s="1"/>
  <c r="B543" i="18" s="1"/>
  <c r="B593" i="18"/>
  <c r="B596" i="18" s="1"/>
  <c r="B597" i="18" s="1"/>
  <c r="B369" i="18"/>
  <c r="B491" i="18"/>
  <c r="B494" i="18" s="1"/>
  <c r="B495" i="18" s="1"/>
  <c r="B498" i="18"/>
  <c r="B501" i="18" s="1"/>
  <c r="B502" i="18" s="1"/>
  <c r="B449" i="18"/>
  <c r="B452" i="18" s="1"/>
  <c r="B453" i="18" s="1"/>
  <c r="B424" i="18"/>
  <c r="B427" i="18" s="1"/>
  <c r="B415" i="18"/>
  <c r="B418" i="18" s="1"/>
  <c r="B419" i="18" s="1"/>
  <c r="B586" i="18"/>
  <c r="B589" i="18" s="1"/>
  <c r="B590" i="18" s="1"/>
  <c r="B546" i="18"/>
  <c r="B549" i="18" s="1"/>
  <c r="B550" i="18" s="1"/>
  <c r="B455" i="18"/>
  <c r="B458" i="18" s="1"/>
  <c r="B459" i="18" s="1"/>
  <c r="T69" i="1" l="1"/>
  <c r="T73" i="1" s="1"/>
  <c r="B432" i="18"/>
  <c r="B134" i="18"/>
  <c r="B209" i="18"/>
  <c r="B335" i="18"/>
  <c r="B144" i="18"/>
  <c r="B433" i="18"/>
  <c r="B137" i="18"/>
  <c r="B240" i="18"/>
  <c r="B292" i="18"/>
  <c r="B136" i="18"/>
  <c r="B293" i="18" l="1"/>
  <c r="B336" i="18"/>
  <c r="B210" i="18"/>
  <c r="T75" i="1"/>
  <c r="B238" i="18" s="1"/>
  <c r="B227" i="18" l="1"/>
  <c r="B219" i="18"/>
  <c r="B217" i="18"/>
  <c r="B343" i="18"/>
  <c r="B300" i="18"/>
  <c r="B215" i="18"/>
  <c r="B228" i="18"/>
  <c r="B229" i="18"/>
</calcChain>
</file>

<file path=xl/sharedStrings.xml><?xml version="1.0" encoding="utf-8"?>
<sst xmlns="http://schemas.openxmlformats.org/spreadsheetml/2006/main" count="835" uniqueCount="550">
  <si>
    <t>Mailing Address</t>
  </si>
  <si>
    <t>Telephone</t>
  </si>
  <si>
    <t>$</t>
  </si>
  <si>
    <t>Company</t>
  </si>
  <si>
    <t>Survey Deadline</t>
  </si>
  <si>
    <t>Participant data will be aggregated in a way that prevents identification of any individual company.</t>
  </si>
  <si>
    <t>INSTRUCTIONS</t>
  </si>
  <si>
    <t>1.</t>
  </si>
  <si>
    <t>2.</t>
  </si>
  <si>
    <t>3.</t>
  </si>
  <si>
    <t>4.</t>
  </si>
  <si>
    <t>Major features of their data management procedure include:</t>
  </si>
  <si>
    <t>STATEMENT OF CONFIDENTIALITY</t>
  </si>
  <si>
    <t>procedures, they have never had a confidentiality problem.</t>
  </si>
  <si>
    <t xml:space="preserve">Specific data masking procedures are in place to ensure that no one company's data can be identified </t>
  </si>
  <si>
    <t>from the aggregate industry data being reported.</t>
  </si>
  <si>
    <t>Your firm's data will be identified in the database only by a company identification number.  A single</t>
  </si>
  <si>
    <t>Every precaution has been taken to protect the complete confidentiality of all information, and this</t>
  </si>
  <si>
    <t>responsibility is taken very seriously.  Companies of all sizes, from less than a million to well over a</t>
  </si>
  <si>
    <t>Fax</t>
  </si>
  <si>
    <t>Email Address</t>
  </si>
  <si>
    <t>Owners and management rightly feel that their firm's financial data is highly confidential.</t>
  </si>
  <si>
    <t>Net Sales</t>
  </si>
  <si>
    <t>Other Income</t>
  </si>
  <si>
    <t>Interest Expense</t>
  </si>
  <si>
    <t>Other Non-Operating Expenses</t>
  </si>
  <si>
    <t>(Local, State, Federal)</t>
  </si>
  <si>
    <t>Income Taxes</t>
  </si>
  <si>
    <t>Operating Profit</t>
  </si>
  <si>
    <t>The goal is to obtain an estimate of "full-time equivalent" employees in each function area.  You may allocate</t>
  </si>
  <si>
    <t>as little as ¼ of a person to a function.  Convert part-time employees into "full-time" equivalents.</t>
  </si>
  <si>
    <t>Total number of employees</t>
  </si>
  <si>
    <t>Cost of Goods Sold</t>
  </si>
  <si>
    <t>Your data will be treated confidentially by Mackay Research Group.</t>
  </si>
  <si>
    <t>handling and protecting data submitted by firms for industry performance surveys. Because of their strict</t>
  </si>
  <si>
    <t>Mackay Research Group is extremely sensitive to this issue, and has developed secure methods of</t>
  </si>
  <si>
    <t>The processing of such data is restricted exclusively to employees of the Mackay Research Group.</t>
  </si>
  <si>
    <t>directly to Mackay Research Group.  Access to your data will be solely restricted to necessary Mackay</t>
  </si>
  <si>
    <t>Research Group personnel.</t>
  </si>
  <si>
    <t>In summary, confidentiality of client information is at the core of Mackay Research Group's business.</t>
  </si>
  <si>
    <t xml:space="preserve">billion dollars in sales, send thousands of survey forms to Mackay Research Group each year, trusting  </t>
  </si>
  <si>
    <t>Mackay Research Group to securely manage their sensitive data.</t>
  </si>
  <si>
    <t>Income Statement</t>
  </si>
  <si>
    <t>CONFIDENTIAL</t>
  </si>
  <si>
    <t>(Gross Sales less returns, cash discounts, allowances &amp; sales taxes)</t>
  </si>
  <si>
    <t>(Net Sales - Total Cost Of Goods Sold)</t>
  </si>
  <si>
    <t>All Other Operating Expenses</t>
  </si>
  <si>
    <t xml:space="preserve">  Profit Before Taxes</t>
  </si>
  <si>
    <t xml:space="preserve">  Net Profit After Taxes</t>
  </si>
  <si>
    <t>(Operating Profit+Other Income-Interest Expense-Other Non-Operating Exp.)</t>
  </si>
  <si>
    <t>(Interest income, gain on sale of assets, etc.)</t>
  </si>
  <si>
    <t>(Excluding mortgage interest)</t>
  </si>
  <si>
    <t>surveys@mackayresearchgroup.com</t>
  </si>
  <si>
    <t>Questions regarding this survey?</t>
  </si>
  <si>
    <t>from the data files, where the data is identified only by ID number.</t>
  </si>
  <si>
    <t>master list which cross-references company names and their ID numbers is maintained separately</t>
  </si>
  <si>
    <t>performance to industry benchmarks, please complete the following:</t>
  </si>
  <si>
    <t>Name</t>
  </si>
  <si>
    <t>Title</t>
  </si>
  <si>
    <t>City</t>
  </si>
  <si>
    <t>State</t>
  </si>
  <si>
    <t>Zip Code</t>
  </si>
  <si>
    <r>
      <t>Previous</t>
    </r>
    <r>
      <rPr>
        <sz val="10"/>
        <rFont val="Arial"/>
        <family val="2"/>
      </rPr>
      <t xml:space="preserve"> fiscal year Net Sales</t>
    </r>
  </si>
  <si>
    <t>Year</t>
  </si>
  <si>
    <t>Address1</t>
  </si>
  <si>
    <t>Address2</t>
  </si>
  <si>
    <t>Zipcode</t>
  </si>
  <si>
    <t>Phone</t>
  </si>
  <si>
    <t>Eaddr</t>
  </si>
  <si>
    <t>ORG</t>
  </si>
  <si>
    <t>OEMP</t>
  </si>
  <si>
    <t>EMP</t>
  </si>
  <si>
    <t>PREV</t>
  </si>
  <si>
    <t>AAR</t>
  </si>
  <si>
    <t>AVG</t>
  </si>
  <si>
    <t>LIFO</t>
  </si>
  <si>
    <t>ADD</t>
  </si>
  <si>
    <t>END</t>
  </si>
  <si>
    <t>TA</t>
  </si>
  <si>
    <t>CA</t>
  </si>
  <si>
    <t>CASH</t>
  </si>
  <si>
    <t>AR</t>
  </si>
  <si>
    <t>INV</t>
  </si>
  <si>
    <t>OCA</t>
  </si>
  <si>
    <t>FIXED</t>
  </si>
  <si>
    <t>OFA</t>
  </si>
  <si>
    <t>CL</t>
  </si>
  <si>
    <t>AP</t>
  </si>
  <si>
    <t>NP</t>
  </si>
  <si>
    <t>OCL</t>
  </si>
  <si>
    <t>LTL</t>
  </si>
  <si>
    <t>LOAN</t>
  </si>
  <si>
    <t>EQTY</t>
  </si>
  <si>
    <t>LIAB</t>
  </si>
  <si>
    <t>NS</t>
  </si>
  <si>
    <t>RM</t>
  </si>
  <si>
    <t>UT</t>
  </si>
  <si>
    <t>RENT</t>
  </si>
  <si>
    <t>EQUIP</t>
  </si>
  <si>
    <t>INS</t>
  </si>
  <si>
    <t>DPR</t>
  </si>
  <si>
    <t>COGS</t>
  </si>
  <si>
    <t>GP</t>
  </si>
  <si>
    <t>EXEC</t>
  </si>
  <si>
    <t>SLS</t>
  </si>
  <si>
    <t>PA</t>
  </si>
  <si>
    <t>AD</t>
  </si>
  <si>
    <t>OE</t>
  </si>
  <si>
    <t>TOE</t>
  </si>
  <si>
    <t>TE</t>
  </si>
  <si>
    <t>OP</t>
  </si>
  <si>
    <t>OI</t>
  </si>
  <si>
    <t>INT</t>
  </si>
  <si>
    <t>OEX</t>
  </si>
  <si>
    <t>PBT</t>
  </si>
  <si>
    <t>TAX</t>
  </si>
  <si>
    <t>NET</t>
  </si>
  <si>
    <t>ID</t>
  </si>
  <si>
    <t>(Fiscal year</t>
  </si>
  <si>
    <t>, 12 months of data)</t>
  </si>
  <si>
    <t>taylor@mackayresearchgroup.com</t>
  </si>
  <si>
    <t>Employee Benefits</t>
  </si>
  <si>
    <t>No one from MHEDA or its staff will have access to individual company data.</t>
  </si>
  <si>
    <t>Mackay Research Group independently conducts this survey for MHEDA; you send your questionnaire</t>
  </si>
  <si>
    <r>
      <t>Number of employees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(all employees, full-time equivalents, including owner/managers)</t>
    </r>
  </si>
  <si>
    <t>Executives</t>
  </si>
  <si>
    <t>Service Technicians</t>
  </si>
  <si>
    <t>Parts Inventory over 12 months old</t>
  </si>
  <si>
    <t>Operating Expenses</t>
  </si>
  <si>
    <t>Payroll Expenses</t>
  </si>
  <si>
    <r>
      <t xml:space="preserve">Total </t>
    </r>
    <r>
      <rPr>
        <b/>
        <sz val="10"/>
        <rFont val="Arial"/>
        <family val="2"/>
      </rPr>
      <t>Payroll Expenses</t>
    </r>
  </si>
  <si>
    <t>Gross Profit</t>
  </si>
  <si>
    <t>Total Operating Expenses</t>
  </si>
  <si>
    <t>Occupancy Expenses</t>
  </si>
  <si>
    <t>Building Repairs &amp; Maintenance</t>
  </si>
  <si>
    <t>Utilities (heat, light, power, water)</t>
  </si>
  <si>
    <r>
      <t xml:space="preserve">Rent or Real Estate Ownership </t>
    </r>
    <r>
      <rPr>
        <sz val="10"/>
        <rFont val="Arial Narrow"/>
        <family val="2"/>
      </rPr>
      <t>(include rent, mortgage int., bldg. depr., ins., real estate taxes, etc.)</t>
    </r>
  </si>
  <si>
    <t>Other Operating Expenses</t>
  </si>
  <si>
    <t>Training</t>
  </si>
  <si>
    <t>Vehicle (incl. gas, oil, repairs &amp; maintenance, insurance, depreciation, leasing, etc.)</t>
  </si>
  <si>
    <t>Insurance (business liability &amp; casualty; not real estate or group)</t>
  </si>
  <si>
    <t>Depreciation (excl. rental equip., building &amp; vehicle)</t>
  </si>
  <si>
    <t>Computer &amp; MIS/Communications (telephone, data lines, cell phones)</t>
  </si>
  <si>
    <t>Marketing/Advertising/Website Costs (excl. payroll)</t>
  </si>
  <si>
    <t>Product Sales &amp; Cost of Sales</t>
  </si>
  <si>
    <t>Sales</t>
  </si>
  <si>
    <t>New Power Equipment</t>
  </si>
  <si>
    <t>Used Power Equipment</t>
  </si>
  <si>
    <t>Storage/Handling Products</t>
  </si>
  <si>
    <t>All Other Sales</t>
  </si>
  <si>
    <t>Payroll</t>
  </si>
  <si>
    <t>Occupancy</t>
  </si>
  <si>
    <t>Rental Fleet depreciation, maintenance, interest</t>
  </si>
  <si>
    <r>
      <t xml:space="preserve">Total </t>
    </r>
    <r>
      <rPr>
        <sz val="10"/>
        <rFont val="Arial Narrow"/>
        <family val="2"/>
      </rPr>
      <t>(copied from the income statement)</t>
    </r>
  </si>
  <si>
    <t>Gross Profit - Total Operating Expenses)</t>
  </si>
  <si>
    <t>(Payroll + Occupancy + Other Operating Expenses)</t>
  </si>
  <si>
    <t>Ltrucks</t>
  </si>
  <si>
    <t>EngSys</t>
  </si>
  <si>
    <t>SH</t>
  </si>
  <si>
    <t>OPROD</t>
  </si>
  <si>
    <t>EMP_Exec</t>
  </si>
  <si>
    <t>SvcCalls</t>
  </si>
  <si>
    <t>SvcVeh</t>
  </si>
  <si>
    <t>SvcRecover</t>
  </si>
  <si>
    <t>SvcJobs</t>
  </si>
  <si>
    <t>STunits</t>
  </si>
  <si>
    <t>STvalue</t>
  </si>
  <si>
    <t>STutil</t>
  </si>
  <si>
    <t>CUST</t>
  </si>
  <si>
    <t>IntParts</t>
  </si>
  <si>
    <t>IntSvc</t>
  </si>
  <si>
    <t>AAP</t>
  </si>
  <si>
    <t>AgeNew</t>
  </si>
  <si>
    <t>AgeUsed</t>
  </si>
  <si>
    <t>AgeParts</t>
  </si>
  <si>
    <t>AgeSH</t>
  </si>
  <si>
    <t>NEWINV</t>
  </si>
  <si>
    <t>USEDINV</t>
  </si>
  <si>
    <t>PARTSINV</t>
  </si>
  <si>
    <t>OINV</t>
  </si>
  <si>
    <t>TechWages</t>
  </si>
  <si>
    <t>RentalCost</t>
  </si>
  <si>
    <t>OCOGS</t>
  </si>
  <si>
    <t>SAL</t>
  </si>
  <si>
    <t>PT</t>
  </si>
  <si>
    <t>BENE</t>
  </si>
  <si>
    <t>Grp_Ins</t>
  </si>
  <si>
    <t>OC</t>
  </si>
  <si>
    <t>VEH</t>
  </si>
  <si>
    <t>TRN</t>
  </si>
  <si>
    <t>MIS</t>
  </si>
  <si>
    <t>NS_New</t>
  </si>
  <si>
    <t>NS_Used</t>
  </si>
  <si>
    <t>NS_SH</t>
  </si>
  <si>
    <t>NS_ES</t>
  </si>
  <si>
    <t>NS_Counter</t>
  </si>
  <si>
    <t>NS_SVC</t>
  </si>
  <si>
    <t>NS_Rent</t>
  </si>
  <si>
    <t>NS_OTH</t>
  </si>
  <si>
    <t>GP_New</t>
  </si>
  <si>
    <t>GP_Used</t>
  </si>
  <si>
    <t>GP_SH</t>
  </si>
  <si>
    <t>GP_ES</t>
  </si>
  <si>
    <t>GP_Counter</t>
  </si>
  <si>
    <t>GP_SVC</t>
  </si>
  <si>
    <t>GP_Rent</t>
  </si>
  <si>
    <t>GP_OTH</t>
  </si>
  <si>
    <t>COGS_New</t>
  </si>
  <si>
    <t>COGS_Used</t>
  </si>
  <si>
    <t>COGS_SH</t>
  </si>
  <si>
    <t>COGS_ES</t>
  </si>
  <si>
    <t>COGS_Counter</t>
  </si>
  <si>
    <t>COGS_SVC</t>
  </si>
  <si>
    <t>COGS_Rent</t>
  </si>
  <si>
    <t>COGS_OTH</t>
  </si>
  <si>
    <t>PA_Sales</t>
  </si>
  <si>
    <t>PA_Parts</t>
  </si>
  <si>
    <t>PA_SCV</t>
  </si>
  <si>
    <t>PA_Rental</t>
  </si>
  <si>
    <t>PA_GA</t>
  </si>
  <si>
    <t>OE_Sales</t>
  </si>
  <si>
    <t>OE_SCV</t>
  </si>
  <si>
    <t>OE_Rental</t>
  </si>
  <si>
    <t>OE_GA</t>
  </si>
  <si>
    <t>OE_Parts</t>
  </si>
  <si>
    <t>OC_Sales</t>
  </si>
  <si>
    <t>OC_SCV</t>
  </si>
  <si>
    <t>OC_Rental</t>
  </si>
  <si>
    <t>OC_GA</t>
  </si>
  <si>
    <t>OC_Parts</t>
  </si>
  <si>
    <t>Parts</t>
  </si>
  <si>
    <t>Rental Billings – Customer &amp; Internal</t>
  </si>
  <si>
    <t>Automated Storage &amp; Retrieval Systems, robotic delivery</t>
  </si>
  <si>
    <t>Salaries, Wages, Commissions &amp; Bonuses</t>
  </si>
  <si>
    <t>Assn</t>
  </si>
  <si>
    <t>Inside</t>
  </si>
  <si>
    <t>PA_Tech</t>
  </si>
  <si>
    <t>PA_SVC</t>
  </si>
  <si>
    <t>SAL_TOT</t>
  </si>
  <si>
    <t>(include freight-in, less purchase discounts)</t>
  </si>
  <si>
    <t>BALANCE SHEET</t>
  </si>
  <si>
    <t>INCOME STATEMENT</t>
  </si>
  <si>
    <t>GFA</t>
  </si>
  <si>
    <t>ACCDPR</t>
  </si>
  <si>
    <t>b</t>
  </si>
  <si>
    <t>PT_Pct</t>
  </si>
  <si>
    <t>Grp_Pct</t>
  </si>
  <si>
    <t>BENE_Pct</t>
  </si>
  <si>
    <t>Burden_Pct</t>
  </si>
  <si>
    <t>Tele</t>
  </si>
  <si>
    <t>Outside Sales / Account Management</t>
  </si>
  <si>
    <t>Engineers / Project Management</t>
  </si>
  <si>
    <t>Customer Service / Inside Sales / Sales Support</t>
  </si>
  <si>
    <t>Warehouse Employees / Drivers</t>
  </si>
  <si>
    <t>EMP_WHS</t>
  </si>
  <si>
    <t>EMP_PM</t>
  </si>
  <si>
    <t>PA_PM</t>
  </si>
  <si>
    <t>PA_OTH</t>
  </si>
  <si>
    <t>DownPmt</t>
  </si>
  <si>
    <t>FinalPmt</t>
  </si>
  <si>
    <t>STOCK</t>
  </si>
  <si>
    <t>PA_WHS</t>
  </si>
  <si>
    <r>
      <t>— Utilities, phone, data lines,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rent, bldg depreciation, insurance, etc.</t>
    </r>
  </si>
  <si>
    <r>
      <t>Installation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(Electrical &amp; Mechanical)</t>
    </r>
  </si>
  <si>
    <t>Service / Maintenance Revenue</t>
  </si>
  <si>
    <t>NS_Install</t>
  </si>
  <si>
    <t>COGS_Install</t>
  </si>
  <si>
    <t>GP_Install</t>
  </si>
  <si>
    <t>In-house service/maintenance labor or sub-contracted</t>
  </si>
  <si>
    <t>In-house installation labor or sub-contracted</t>
  </si>
  <si>
    <t>EMP_Out</t>
  </si>
  <si>
    <t>EMP_Inside</t>
  </si>
  <si>
    <t>EMP_Rental</t>
  </si>
  <si>
    <t>EMP_Tech</t>
  </si>
  <si>
    <t>EMP_SVC</t>
  </si>
  <si>
    <t>PA_Exec</t>
  </si>
  <si>
    <t>PA_Out</t>
  </si>
  <si>
    <t>PA_Inside</t>
  </si>
  <si>
    <t>All Other Employees, Administrative/Clerical &amp; other employees not included above</t>
  </si>
  <si>
    <t>(including extraordinary expenses,)</t>
  </si>
  <si>
    <t>Questions</t>
  </si>
  <si>
    <t>Equipment / Controls / Engineering Revenue / Project Management</t>
  </si>
  <si>
    <t>ES</t>
  </si>
  <si>
    <t>Service Technicians / Installation, including electricians</t>
  </si>
  <si>
    <t>(Owners, Senior Level Managers, V.P., etc.)</t>
  </si>
  <si>
    <t>Payroll Taxes</t>
  </si>
  <si>
    <r>
      <t xml:space="preserve">(FICA, unemployment, workers' compensation; </t>
    </r>
    <r>
      <rPr>
        <b/>
        <sz val="10"/>
        <rFont val="Arial Narrow"/>
        <family val="2"/>
      </rPr>
      <t>all employees</t>
    </r>
    <r>
      <rPr>
        <sz val="10"/>
        <rFont val="Arial Narrow"/>
        <family val="2"/>
      </rPr>
      <t>)</t>
    </r>
  </si>
  <si>
    <t>Group Insurance</t>
  </si>
  <si>
    <r>
      <t xml:space="preserve">(medical, hospitalization, etc.; </t>
    </r>
    <r>
      <rPr>
        <b/>
        <sz val="10"/>
        <rFont val="Arial Narrow"/>
        <family val="2"/>
      </rPr>
      <t>all employees</t>
    </r>
    <r>
      <rPr>
        <sz val="10"/>
        <rFont val="Arial Narrow"/>
        <family val="2"/>
      </rPr>
      <t>)</t>
    </r>
  </si>
  <si>
    <r>
      <t xml:space="preserve">(pension, 401(k) &amp; benefits not mandated by the government; </t>
    </r>
    <r>
      <rPr>
        <b/>
        <sz val="10"/>
        <rFont val="Arial Narrow"/>
        <family val="2"/>
      </rPr>
      <t>all employees</t>
    </r>
    <r>
      <rPr>
        <sz val="10"/>
        <rFont val="Arial Narrow"/>
        <family val="2"/>
      </rPr>
      <t>)</t>
    </r>
  </si>
  <si>
    <t>NW</t>
  </si>
  <si>
    <t>PB_Bonus</t>
  </si>
  <si>
    <t>Bonus_Owner</t>
  </si>
  <si>
    <t>Bonus_EMP</t>
  </si>
  <si>
    <t>Not asked in 2019</t>
  </si>
  <si>
    <t>B</t>
  </si>
  <si>
    <t>Stupid ratio -- don't report in 2019</t>
  </si>
  <si>
    <t>TechApplied</t>
  </si>
  <si>
    <t>TechBilled</t>
  </si>
  <si>
    <t>TechPaid</t>
  </si>
  <si>
    <t>PA_Adjust</t>
  </si>
  <si>
    <t>WHSNS</t>
  </si>
  <si>
    <t>WHSCOGS</t>
  </si>
  <si>
    <t>WHSGP</t>
  </si>
  <si>
    <t>START ANALYSIS</t>
  </si>
  <si>
    <t>LIFO ADJUSTMENTS</t>
  </si>
  <si>
    <t>AVG_2</t>
  </si>
  <si>
    <t>INV_2</t>
  </si>
  <si>
    <t>CA_2</t>
  </si>
  <si>
    <t>TA_2</t>
  </si>
  <si>
    <t>NW_2</t>
  </si>
  <si>
    <t>COGS_2</t>
  </si>
  <si>
    <t>GP_2</t>
  </si>
  <si>
    <t>OP_2</t>
  </si>
  <si>
    <t>PBT_2</t>
  </si>
  <si>
    <t>NET_2</t>
  </si>
  <si>
    <t>INC</t>
  </si>
  <si>
    <t>PM</t>
  </si>
  <si>
    <t>ATO</t>
  </si>
  <si>
    <t>ROA</t>
  </si>
  <si>
    <t>LEV</t>
  </si>
  <si>
    <t>ROWN</t>
  </si>
  <si>
    <t>CUR</t>
  </si>
  <si>
    <t>QUICK</t>
  </si>
  <si>
    <t>CASHCL</t>
  </si>
  <si>
    <t>AP/INV</t>
  </si>
  <si>
    <t>APDAYS</t>
  </si>
  <si>
    <t>DEBT</t>
  </si>
  <si>
    <t>EBIT</t>
  </si>
  <si>
    <t>EBITTA</t>
  </si>
  <si>
    <t>TIMES</t>
  </si>
  <si>
    <t>ARDAYS</t>
  </si>
  <si>
    <t>TURN</t>
  </si>
  <si>
    <t>INVDAYS</t>
  </si>
  <si>
    <t>SALES/INV</t>
  </si>
  <si>
    <t>GMROI</t>
  </si>
  <si>
    <t>Sales/FA</t>
  </si>
  <si>
    <t>GPI</t>
  </si>
  <si>
    <t>CASH/CL</t>
  </si>
  <si>
    <t>DEFENSE</t>
  </si>
  <si>
    <t>WORK</t>
  </si>
  <si>
    <t>Employee Productivity</t>
  </si>
  <si>
    <t xml:space="preserve">Revenue Producing Emps. </t>
  </si>
  <si>
    <t>Sales $ per Employee</t>
  </si>
  <si>
    <t>Gross Profit $ per Employee</t>
  </si>
  <si>
    <t>Salary $ per Employee (incl. direct labor)</t>
  </si>
  <si>
    <t>Payroll $ per Employee (incl. direct labor)</t>
  </si>
  <si>
    <t>Total Payroll Expense (% of Net Sales)</t>
  </si>
  <si>
    <t>Personnel Productivity Ratio (payroll % of GP)</t>
  </si>
  <si>
    <t>PA_OUT</t>
  </si>
  <si>
    <t>GROSS MARGIN</t>
  </si>
  <si>
    <t>STORINV</t>
  </si>
  <si>
    <t xml:space="preserve">﻿G&amp;A Expenses (% of parts, service &amp; rental sales) </t>
  </si>
  <si>
    <t xml:space="preserve">Personnel </t>
  </si>
  <si>
    <t xml:space="preserve">Occupancy </t>
  </si>
  <si>
    <t xml:space="preserve">Other Expenses </t>
  </si>
  <si>
    <t>Sales by Product Category</t>
  </si>
  <si>
    <t>NS_Internal</t>
  </si>
  <si>
    <t>NS_Warranty</t>
  </si>
  <si>
    <t>Gross Margin by Product Category</t>
  </si>
  <si>
    <t>GP_Internal</t>
  </si>
  <si>
    <t>GP_Warranty</t>
  </si>
  <si>
    <t>PartsTotal</t>
  </si>
  <si>
    <t>Product Sales</t>
  </si>
  <si>
    <t>Product COGS</t>
  </si>
  <si>
    <t>Product Gross Margin</t>
  </si>
  <si>
    <t>GM%</t>
  </si>
  <si>
    <t>GM x NSINV</t>
  </si>
  <si>
    <t>Aftermarket Operations Analysis</t>
  </si>
  <si>
    <t>Aftermarket Revenue</t>
  </si>
  <si>
    <t>Aftermarket COGS</t>
  </si>
  <si>
    <t>Aftermarket Gross Profit</t>
  </si>
  <si>
    <t>Aftermarket Payroll</t>
  </si>
  <si>
    <t>Aftermarket Occupancy</t>
  </si>
  <si>
    <t>Aftermarket Other Expenses</t>
  </si>
  <si>
    <t>Aftermarket G&amp;A Expenses</t>
  </si>
  <si>
    <t>Aftermarket Contribution Profit</t>
  </si>
  <si>
    <t>Aftermarket Income Statement</t>
  </si>
  <si>
    <t>Aftermarket Contribution Margin</t>
  </si>
  <si>
    <t>Overall Gross Margin</t>
  </si>
  <si>
    <t xml:space="preserve">Aftermarket Gross Profit Contribution (%) </t>
  </si>
  <si>
    <t xml:space="preserve">﻿Absorption </t>
  </si>
  <si>
    <t xml:space="preserve">Absorption Rate </t>
  </si>
  <si>
    <t xml:space="preserve">Absorption Rate Without Sales </t>
  </si>
  <si>
    <t xml:space="preserve">﻿Active Customers </t>
  </si>
  <si>
    <t xml:space="preserve">Sales per Customer </t>
  </si>
  <si>
    <t>Equipment/Product Departmental Analysis</t>
  </si>
  <si>
    <t xml:space="preserve">Equipment/Product Sales </t>
  </si>
  <si>
    <t>Equipment/Product COGS</t>
  </si>
  <si>
    <t>Equipment/Product Gross Profit</t>
  </si>
  <si>
    <t>Equipment/Product Payroll</t>
  </si>
  <si>
    <t>Equipment/Product Occupancy</t>
  </si>
  <si>
    <t>Equipment/Product Other Expenses</t>
  </si>
  <si>
    <t>Equipment/Product G&amp;A Expenses</t>
  </si>
  <si>
    <t>Equipment/Product Contribution Profit</t>
  </si>
  <si>
    <t>Equipment/Product Department Income Statement</t>
  </si>
  <si>
    <t>Equipment/Product Department Expenses as a % of Gross Profit</t>
  </si>
  <si>
    <t>Other Expenses</t>
  </si>
  <si>
    <t>Total Dept. G&amp;A Expenses</t>
  </si>
  <si>
    <t>Contribution Margin</t>
  </si>
  <si>
    <t xml:space="preserve">﻿Employees (inside &amp; outside sales) </t>
  </si>
  <si>
    <t>Inside Sales Employees</t>
  </si>
  <si>
    <t>Outside Sales Employees</t>
  </si>
  <si>
    <t>Total Sales Employees</t>
  </si>
  <si>
    <t>Sales per Sales Employee</t>
  </si>
  <si>
    <t>GP per Sales Employee</t>
  </si>
  <si>
    <t xml:space="preserve">﻿Product Mix (% of dept. sales) </t>
  </si>
  <si>
    <t xml:space="preserve">New Power Equipment </t>
  </si>
  <si>
    <t xml:space="preserve">Used Power Equipment </t>
  </si>
  <si>
    <t xml:space="preserve">Storage/Handling Products </t>
  </si>
  <si>
    <t xml:space="preserve">Engineered Systems </t>
  </si>
  <si>
    <t xml:space="preserve">Total Department Sales </t>
  </si>
  <si>
    <t xml:space="preserve">﻿Product Gross Margin </t>
  </si>
  <si>
    <r>
      <t>﻿Inventory Aging</t>
    </r>
    <r>
      <rPr>
        <u/>
        <sz val="10"/>
        <rFont val="Arial"/>
        <family val="2"/>
      </rPr>
      <t xml:space="preserve"> (% of each inventory category) </t>
    </r>
  </si>
  <si>
    <t xml:space="preserve">New Power Equipment &gt; 12 Months </t>
  </si>
  <si>
    <t xml:space="preserve">Used Power Equipment &gt; 12 Months </t>
  </si>
  <si>
    <t xml:space="preserve">Storage/Handling Inventory &gt; 6 Months </t>
  </si>
  <si>
    <t>﻿Inventory Turnover</t>
  </si>
  <si>
    <t xml:space="preserve">New Power Equipment Turnover </t>
  </si>
  <si>
    <t xml:space="preserve">Used Power Equipment Turnover </t>
  </si>
  <si>
    <t xml:space="preserve">Storage/Handling Inventory Turnover </t>
  </si>
  <si>
    <t>﻿Parts Department Analysis</t>
  </si>
  <si>
    <t>Parts Sales Volume</t>
  </si>
  <si>
    <t>Parts Department Income Statement</t>
  </si>
  <si>
    <t>Parts Sales</t>
  </si>
  <si>
    <t>Parts COGS</t>
  </si>
  <si>
    <t>Parts Gross Margin</t>
  </si>
  <si>
    <t>Parts Dept. Payroll</t>
  </si>
  <si>
    <t>Parts Dept. Occupancy</t>
  </si>
  <si>
    <t>Parts Dept. Other Expenses</t>
  </si>
  <si>
    <t>Total Parts Dept. G&amp;A Expenses</t>
  </si>
  <si>
    <t>Parts Dept. Contribution Margin</t>
  </si>
  <si>
    <t>Parts Department Expenses as a % of Gross Profit</t>
  </si>
  <si>
    <t>Parts Gross Profit</t>
  </si>
  <si>
    <t xml:space="preserve">Parts Department ﻿Employees </t>
  </si>
  <si>
    <t>Department Management</t>
  </si>
  <si>
    <t>Counter Sales</t>
  </si>
  <si>
    <t>Inside Sales</t>
  </si>
  <si>
    <t>Outside Sales</t>
  </si>
  <si>
    <t>Parts Department, including manager</t>
  </si>
  <si>
    <t>Total Parts Employees</t>
  </si>
  <si>
    <t xml:space="preserve">Parts Sales per Parts Employee </t>
  </si>
  <si>
    <t xml:space="preserve">Parts Gross Profit per Parts Employee </t>
  </si>
  <si>
    <t>Parts Department Sales Mix</t>
  </si>
  <si>
    <t xml:space="preserve">Parts – Counter </t>
  </si>
  <si>
    <t>Parts – Repair Order</t>
  </si>
  <si>
    <t xml:space="preserve">Parts – Internal </t>
  </si>
  <si>
    <t>Parts – Warranty</t>
  </si>
  <si>
    <t xml:space="preserve">Parts – Warranty </t>
  </si>
  <si>
    <t xml:space="preserve">﻿Parts Inventory </t>
  </si>
  <si>
    <t xml:space="preserve">Parts Inventory Turnover </t>
  </si>
  <si>
    <t xml:space="preserve">Parts GMROI </t>
  </si>
  <si>
    <t>﻿Internal Parts Billing Rate</t>
  </si>
  <si>
    <t>Full Retail Pricing</t>
  </si>
  <si>
    <t xml:space="preserve">Discount from Retail </t>
  </si>
  <si>
    <t xml:space="preserve">Cost </t>
  </si>
  <si>
    <t xml:space="preserve">Total </t>
  </si>
  <si>
    <t>﻿Service Department Analysis</t>
  </si>
  <si>
    <t xml:space="preserve">Department Sales </t>
  </si>
  <si>
    <t>Service Department Income Statement</t>
  </si>
  <si>
    <t>Service Revenue</t>
  </si>
  <si>
    <t>Tech Wages</t>
  </si>
  <si>
    <t>Service Gross Margin</t>
  </si>
  <si>
    <t>Service Dept. Payroll</t>
  </si>
  <si>
    <t>Service Dept. Occupancy</t>
  </si>
  <si>
    <t>Service Dept. Other Expenses</t>
  </si>
  <si>
    <t>Total Service Dept. G&amp;A Expenses</t>
  </si>
  <si>
    <t>Service Dept. Contribution Margin</t>
  </si>
  <si>
    <t>Service Department Expenses as a % of Gross Profit</t>
  </si>
  <si>
    <t>Service Gross Profit</t>
  </si>
  <si>
    <t xml:space="preserve">Service Department ﻿Employees </t>
  </si>
  <si>
    <t>Service Management</t>
  </si>
  <si>
    <t>Administrative/Support</t>
  </si>
  <si>
    <t>Total Service Dept. Employees</t>
  </si>
  <si>
    <t>Service Revenue per Service Tech</t>
  </si>
  <si>
    <t>Service Gross Profit per Service Tech</t>
  </si>
  <si>
    <t>Service Tech Ratio</t>
  </si>
  <si>
    <t xml:space="preserve">Rental &amp; Service Tech Ratio (%) </t>
  </si>
  <si>
    <t xml:space="preserve">﻿Service &amp; Installation </t>
  </si>
  <si>
    <t>Service calls per month</t>
  </si>
  <si>
    <t xml:space="preserve">Service Calls per Service Tech (monthly) </t>
  </si>
  <si>
    <t>Service vehicle expenses</t>
  </si>
  <si>
    <t>Service vehicle expenses recovered</t>
  </si>
  <si>
    <t xml:space="preserve">Service Vehicle Expense Recovery Ratio </t>
  </si>
  <si>
    <t>Total Technician Applied Hours</t>
  </si>
  <si>
    <t>Total Labor Hours Actually Billed</t>
  </si>
  <si>
    <t>Total Technician Hours Paid</t>
  </si>
  <si>
    <t>Hours Billed per Hour Paid</t>
  </si>
  <si>
    <t xml:space="preserve">Effective Tech Labor Rate </t>
  </si>
  <si>
    <t xml:space="preserve">Applied Tech Labor Rate </t>
  </si>
  <si>
    <t xml:space="preserve">Jobs/projeccts requiring installation (monthly) </t>
  </si>
  <si>
    <t>﻿Internal Billing Rate for Service/Installation</t>
  </si>
  <si>
    <t>﻿Rental Department Analysis</t>
  </si>
  <si>
    <t>Typical Rental Billings</t>
  </si>
  <si>
    <t>Rental Department Income Statement</t>
  </si>
  <si>
    <t>Rental Revenue</t>
  </si>
  <si>
    <t>Cost of Rental Equipment</t>
  </si>
  <si>
    <t>Rental Gross Margin</t>
  </si>
  <si>
    <t>Rental Dept. Payroll</t>
  </si>
  <si>
    <t>Rental Dept. Occupancy</t>
  </si>
  <si>
    <t>Rental Dept. Other Expenses</t>
  </si>
  <si>
    <t>Total Rental Dept. G&amp;A Expenses</t>
  </si>
  <si>
    <t>Rental Dept. Contribution Margin</t>
  </si>
  <si>
    <t>Rental Department Expenses as a % of Gross Profit</t>
  </si>
  <si>
    <t>Rental Gross Profit</t>
  </si>
  <si>
    <t>Rental Contribution Margin</t>
  </si>
  <si>
    <t xml:space="preserve">Rental Department ﻿Employees </t>
  </si>
  <si>
    <t>Rental Management</t>
  </si>
  <si>
    <t>Rental Administrative/Support</t>
  </si>
  <si>
    <t>Rental Technicians</t>
  </si>
  <si>
    <t>Total Rental Dept. Employees</t>
  </si>
  <si>
    <t>﻿Technicians</t>
  </si>
  <si>
    <t>Rental Tech Ratio</t>
  </si>
  <si>
    <t>Rental &amp; Service Tech Ratio</t>
  </si>
  <si>
    <t xml:space="preserve">﻿Rental Fleet </t>
  </si>
  <si>
    <t xml:space="preserve">Number of Rental Units </t>
  </si>
  <si>
    <t xml:space="preserve">Acquisition Value of Rental Fleet </t>
  </si>
  <si>
    <t xml:space="preserve">Rental Revenue per Unit </t>
  </si>
  <si>
    <t xml:space="preserve">Rental Revenue to Fleet Acquisition Cost (%) </t>
  </si>
  <si>
    <t>Rental Revenue to Depreciated Fleet  Asset Value</t>
  </si>
  <si>
    <t>Time Utilization of Rental Fleet</t>
  </si>
  <si>
    <t>CSH</t>
  </si>
  <si>
    <t>DROP</t>
  </si>
  <si>
    <t>NS_SH+NS_ES</t>
  </si>
  <si>
    <t>(NS_SH+NS_ES)-COGS_SH+COGS_ES/(NS_SH+NS_ES)</t>
  </si>
  <si>
    <t>Employees As %</t>
  </si>
  <si>
    <t>Sales $ Per Sales Employees (Inside &amp; Out)</t>
  </si>
  <si>
    <t>Gross Profit Pr Sales Employee (Inside &amp; Out)</t>
  </si>
  <si>
    <t>Sales $ Per Outside Sales Employees</t>
  </si>
  <si>
    <t>Gross Profit $ Per Outside Sales Employees</t>
  </si>
  <si>
    <t>Outside Employees Vs. Sales Support Employees</t>
  </si>
  <si>
    <t>Revenue per Engineer Employee</t>
  </si>
  <si>
    <t>Engineers / Project Managers per Outside Sales Employee</t>
  </si>
  <si>
    <t>Service &amp; Installation Revenue per Service Tech/Installation Emp.</t>
  </si>
  <si>
    <t>Service &amp; Installation Margin per Service Tech/Installation Emp.</t>
  </si>
  <si>
    <t>Copy for Data File through Row 625</t>
  </si>
  <si>
    <t>EMP_OTH</t>
  </si>
  <si>
    <t>&lt;= Add Warehouse employees to Other for ES, Use this line for Other Employees in the ES Analysis</t>
  </si>
  <si>
    <t>Name/Title</t>
  </si>
  <si>
    <t>Type</t>
  </si>
  <si>
    <t>Survey Contact</t>
  </si>
  <si>
    <t>Survey Email</t>
  </si>
  <si>
    <t>Data Contact</t>
  </si>
  <si>
    <t>Data email</t>
  </si>
  <si>
    <t>Address</t>
  </si>
  <si>
    <r>
      <t>For your</t>
    </r>
    <r>
      <rPr>
        <b/>
        <sz val="10"/>
        <rFont val="Arial"/>
        <family val="2"/>
      </rPr>
      <t xml:space="preserve"> FREE </t>
    </r>
    <r>
      <rPr>
        <sz val="10"/>
        <rFont val="Arial"/>
        <family val="2"/>
      </rPr>
      <t xml:space="preserve">individual </t>
    </r>
    <r>
      <rPr>
        <b/>
        <sz val="10"/>
        <rFont val="Arial"/>
        <family val="2"/>
      </rPr>
      <t>Financial Benchmarking Dashboard</t>
    </r>
    <r>
      <rPr>
        <sz val="10"/>
        <rFont val="Arial"/>
        <family val="2"/>
      </rPr>
      <t xml:space="preserve"> which compares your company's</t>
    </r>
  </si>
  <si>
    <t>Or email your completed questionnaire to:</t>
  </si>
  <si>
    <t>Systems Integrator Survey</t>
  </si>
  <si>
    <t>Upload your survey using Dropbox link:</t>
  </si>
  <si>
    <t>Upload with Dropbox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</si>
</sst>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0.0%"/>
    <numFmt numFmtId="168" formatCode="&quot;$&quot;#,##0"/>
    <numFmt numFmtId="169" formatCode="00000"/>
    <numFmt numFmtId="170" formatCode="[&lt;=9999999]###\-####;\(###\)\ ###\-####"/>
    <numFmt numFmtId="171" formatCode="_(* #,##0_);_(* \(#,##0\);_(* &quot;-&quot;??_);_(@_)"/>
    <numFmt numFmtId="172" formatCode="General_)"/>
    <numFmt numFmtId="173" formatCode="[h]:mm"/>
    <numFmt numFmtId="174" formatCode="&quot;$&quot;#,##0;[Red]\-&quot;$&quot;#,##0"/>
    <numFmt numFmtId="175" formatCode="#,##0.00\ &quot;Pts&quot;;[Red]\-#,##0.00\ &quot;Pts&quot;"/>
    <numFmt numFmtId="176" formatCode="#,##0.00&quot; $&quot;;\-#,##0.00&quot; $&quot;"/>
    <numFmt numFmtId="177" formatCode="#,##0.0000000"/>
    <numFmt numFmtId="178" formatCode="0.000%"/>
  </numFmts>
  <fonts count="6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 Black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0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9"/>
      <name val="Helvetic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name val="Courier"/>
      <family val="3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7"/>
      <name val="Small Fonts"/>
      <family val="2"/>
    </font>
    <font>
      <sz val="8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.5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4"/>
      <color theme="0"/>
      <name val="Arial Black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u/>
      <sz val="12"/>
      <color indexed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5E6A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2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2"/>
      </top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1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2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173" fontId="5" fillId="14" borderId="1">
      <alignment horizontal="center" vertical="center"/>
    </xf>
    <xf numFmtId="173" fontId="5" fillId="14" borderId="1">
      <alignment horizontal="center" vertical="center"/>
    </xf>
    <xf numFmtId="0" fontId="25" fillId="15" borderId="0" applyNumberFormat="0" applyBorder="0" applyAlignment="0" applyProtection="0"/>
    <xf numFmtId="3" fontId="40" fillId="0" borderId="0"/>
    <xf numFmtId="0" fontId="26" fillId="16" borderId="2" applyNumberFormat="0" applyAlignment="0" applyProtection="0"/>
    <xf numFmtId="0" fontId="27" fillId="17" borderId="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46" fillId="0" borderId="0">
      <protection locked="0"/>
    </xf>
    <xf numFmtId="172" fontId="45" fillId="0" borderId="0"/>
    <xf numFmtId="0" fontId="28" fillId="0" borderId="0" applyNumberFormat="0" applyFill="0" applyBorder="0" applyAlignment="0" applyProtection="0"/>
    <xf numFmtId="175" fontId="5" fillId="0" borderId="0">
      <protection locked="0"/>
    </xf>
    <xf numFmtId="175" fontId="5" fillId="0" borderId="0">
      <protection locked="0"/>
    </xf>
    <xf numFmtId="0" fontId="29" fillId="18" borderId="0" applyNumberFormat="0" applyBorder="0" applyAlignment="0" applyProtection="0"/>
    <xf numFmtId="38" fontId="6" fillId="19" borderId="0" applyNumberFormat="0" applyBorder="0" applyAlignment="0" applyProtection="0"/>
    <xf numFmtId="0" fontId="47" fillId="0" borderId="0" applyNumberFormat="0" applyFill="0" applyBorder="0" applyAlignment="0" applyProtection="0"/>
    <xf numFmtId="0" fontId="2" fillId="0" borderId="4" applyNumberFormat="0" applyAlignment="0" applyProtection="0">
      <alignment horizontal="left" vertical="center"/>
    </xf>
    <xf numFmtId="0" fontId="2" fillId="0" borderId="5">
      <alignment horizontal="left" vertical="center"/>
    </xf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0" fontId="39" fillId="0" borderId="9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0" fontId="6" fillId="20" borderId="10" applyNumberFormat="0" applyBorder="0" applyAlignment="0" applyProtection="0"/>
    <xf numFmtId="10" fontId="6" fillId="20" borderId="10" applyNumberFormat="0" applyBorder="0" applyAlignment="0" applyProtection="0"/>
    <xf numFmtId="10" fontId="6" fillId="20" borderId="10" applyNumberFormat="0" applyBorder="0" applyAlignment="0" applyProtection="0"/>
    <xf numFmtId="0" fontId="33" fillId="7" borderId="2" applyNumberFormat="0" applyAlignment="0" applyProtection="0"/>
    <xf numFmtId="0" fontId="34" fillId="0" borderId="11" applyNumberFormat="0" applyFill="0" applyAlignment="0" applyProtection="0"/>
    <xf numFmtId="0" fontId="35" fillId="7" borderId="0" applyNumberFormat="0" applyBorder="0" applyAlignment="0" applyProtection="0"/>
    <xf numFmtId="37" fontId="48" fillId="0" borderId="0"/>
    <xf numFmtId="177" fontId="5" fillId="0" borderId="0"/>
    <xf numFmtId="177" fontId="5" fillId="0" borderId="0"/>
    <xf numFmtId="0" fontId="54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4" fillId="0" borderId="0"/>
    <xf numFmtId="0" fontId="2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4" fillId="0" borderId="0"/>
    <xf numFmtId="0" fontId="20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20" fillId="0" borderId="0"/>
    <xf numFmtId="0" fontId="54" fillId="0" borderId="0"/>
    <xf numFmtId="0" fontId="54" fillId="0" borderId="0"/>
    <xf numFmtId="0" fontId="5" fillId="0" borderId="0"/>
    <xf numFmtId="0" fontId="5" fillId="0" borderId="0"/>
    <xf numFmtId="0" fontId="54" fillId="0" borderId="0"/>
    <xf numFmtId="0" fontId="5" fillId="4" borderId="12" applyNumberFormat="0" applyFont="0" applyAlignment="0" applyProtection="0"/>
    <xf numFmtId="0" fontId="5" fillId="4" borderId="12" applyNumberFormat="0" applyFont="0" applyAlignment="0" applyProtection="0"/>
    <xf numFmtId="0" fontId="36" fillId="16" borderId="13" applyNumberFormat="0" applyAlignment="0" applyProtection="0"/>
    <xf numFmtId="40" fontId="41" fillId="21" borderId="0">
      <alignment horizontal="right"/>
    </xf>
    <xf numFmtId="0" fontId="42" fillId="21" borderId="0">
      <alignment horizontal="right"/>
    </xf>
    <xf numFmtId="0" fontId="43" fillId="21" borderId="14"/>
    <xf numFmtId="0" fontId="43" fillId="0" borderId="0" applyBorder="0">
      <alignment horizontal="centerContinuous"/>
    </xf>
    <xf numFmtId="0" fontId="44" fillId="0" borderId="0" applyBorder="0">
      <alignment horizontal="centerContinuous"/>
    </xf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5" applyNumberFormat="0" applyFill="0" applyAlignment="0" applyProtection="0"/>
    <xf numFmtId="37" fontId="6" fillId="22" borderId="0" applyNumberFormat="0" applyBorder="0" applyAlignment="0" applyProtection="0"/>
    <xf numFmtId="37" fontId="6" fillId="0" borderId="0"/>
    <xf numFmtId="3" fontId="49" fillId="0" borderId="9" applyProtection="0"/>
    <xf numFmtId="0" fontId="34" fillId="0" borderId="0" applyNumberFormat="0" applyFill="0" applyBorder="0" applyAlignment="0" applyProtection="0"/>
  </cellStyleXfs>
  <cellXfs count="297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49" fontId="0" fillId="0" borderId="0" xfId="0" applyNumberFormat="1"/>
    <xf numFmtId="3" fontId="5" fillId="0" borderId="0" xfId="0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6" fillId="0" borderId="0" xfId="0" applyFont="1"/>
    <xf numFmtId="49" fontId="3" fillId="0" borderId="0" xfId="0" applyNumberFormat="1" applyFont="1"/>
    <xf numFmtId="168" fontId="0" fillId="0" borderId="0" xfId="0" applyNumberFormat="1"/>
    <xf numFmtId="0" fontId="0" fillId="14" borderId="0" xfId="0" applyFill="1"/>
    <xf numFmtId="0" fontId="9" fillId="0" borderId="0" xfId="0" applyFont="1" applyAlignment="1">
      <alignment horizontal="center"/>
    </xf>
    <xf numFmtId="0" fontId="6" fillId="14" borderId="0" xfId="0" applyFont="1" applyFill="1"/>
    <xf numFmtId="3" fontId="3" fillId="0" borderId="0" xfId="0" applyNumberFormat="1" applyFont="1"/>
    <xf numFmtId="0" fontId="0" fillId="0" borderId="14" xfId="0" applyBorder="1"/>
    <xf numFmtId="0" fontId="8" fillId="0" borderId="0" xfId="64" applyFill="1" applyBorder="1" applyAlignment="1" applyProtection="1"/>
    <xf numFmtId="0" fontId="1" fillId="0" borderId="0" xfId="64" applyFont="1" applyBorder="1" applyAlignment="1" applyProtection="1">
      <alignment horizontal="left"/>
    </xf>
    <xf numFmtId="0" fontId="17" fillId="0" borderId="0" xfId="0" applyFont="1"/>
    <xf numFmtId="0" fontId="3" fillId="0" borderId="0" xfId="0" applyFont="1" applyAlignment="1">
      <alignment horizontal="right"/>
    </xf>
    <xf numFmtId="0" fontId="11" fillId="0" borderId="0" xfId="0" applyFont="1"/>
    <xf numFmtId="0" fontId="0" fillId="0" borderId="0" xfId="0" applyProtection="1">
      <protection locked="0"/>
    </xf>
    <xf numFmtId="165" fontId="19" fillId="0" borderId="0" xfId="0" quotePrefix="1" applyNumberFormat="1" applyFont="1"/>
    <xf numFmtId="0" fontId="19" fillId="0" borderId="0" xfId="118" quotePrefix="1" applyFont="1"/>
    <xf numFmtId="3" fontId="19" fillId="0" borderId="0" xfId="118" quotePrefix="1" applyNumberFormat="1" applyFont="1"/>
    <xf numFmtId="0" fontId="19" fillId="0" borderId="0" xfId="0" applyFont="1"/>
    <xf numFmtId="0" fontId="14" fillId="0" borderId="0" xfId="0" applyFont="1"/>
    <xf numFmtId="49" fontId="0" fillId="0" borderId="0" xfId="0" applyNumberFormat="1" applyAlignment="1">
      <alignment horizontal="right"/>
    </xf>
    <xf numFmtId="0" fontId="9" fillId="1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0" fillId="0" borderId="16" xfId="0" applyBorder="1"/>
    <xf numFmtId="0" fontId="0" fillId="0" borderId="17" xfId="0" applyBorder="1"/>
    <xf numFmtId="0" fontId="6" fillId="0" borderId="16" xfId="0" applyFont="1" applyBorder="1"/>
    <xf numFmtId="0" fontId="6" fillId="0" borderId="18" xfId="0" applyFont="1" applyBorder="1"/>
    <xf numFmtId="0" fontId="0" fillId="0" borderId="18" xfId="0" applyBorder="1"/>
    <xf numFmtId="0" fontId="0" fillId="0" borderId="19" xfId="0" applyBorder="1"/>
    <xf numFmtId="0" fontId="3" fillId="0" borderId="17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7" xfId="0" applyBorder="1" applyAlignment="1">
      <alignment horizontal="right"/>
    </xf>
    <xf numFmtId="0" fontId="16" fillId="0" borderId="0" xfId="0" applyFont="1" applyAlignment="1">
      <alignment horizontal="right"/>
    </xf>
    <xf numFmtId="0" fontId="5" fillId="0" borderId="20" xfId="0" applyFont="1" applyBorder="1" applyAlignment="1">
      <alignment horizontal="right"/>
    </xf>
    <xf numFmtId="0" fontId="0" fillId="14" borderId="0" xfId="0" applyFill="1" applyAlignment="1">
      <alignment horizontal="right"/>
    </xf>
    <xf numFmtId="0" fontId="3" fillId="14" borderId="0" xfId="0" applyFont="1" applyFill="1"/>
    <xf numFmtId="3" fontId="0" fillId="14" borderId="0" xfId="0" applyNumberFormat="1" applyFill="1"/>
    <xf numFmtId="0" fontId="3" fillId="14" borderId="0" xfId="0" applyFont="1" applyFill="1" applyAlignment="1">
      <alignment horizontal="right"/>
    </xf>
    <xf numFmtId="3" fontId="3" fillId="14" borderId="0" xfId="0" applyNumberFormat="1" applyFont="1" applyFill="1"/>
    <xf numFmtId="0" fontId="16" fillId="14" borderId="0" xfId="0" applyFont="1" applyFill="1"/>
    <xf numFmtId="0" fontId="4" fillId="0" borderId="0" xfId="0" applyFont="1" applyAlignment="1">
      <alignment horizontal="center"/>
    </xf>
    <xf numFmtId="168" fontId="0" fillId="0" borderId="16" xfId="0" applyNumberFormat="1" applyBorder="1"/>
    <xf numFmtId="0" fontId="0" fillId="0" borderId="0" xfId="0" applyAlignment="1">
      <alignment vertical="center"/>
    </xf>
    <xf numFmtId="0" fontId="0" fillId="0" borderId="21" xfId="0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>
      <alignment horizontal="right"/>
    </xf>
    <xf numFmtId="0" fontId="16" fillId="0" borderId="16" xfId="0" applyFont="1" applyBorder="1"/>
    <xf numFmtId="0" fontId="5" fillId="0" borderId="16" xfId="0" applyFont="1" applyBorder="1"/>
    <xf numFmtId="0" fontId="5" fillId="0" borderId="18" xfId="0" applyFont="1" applyBorder="1"/>
    <xf numFmtId="168" fontId="0" fillId="0" borderId="19" xfId="0" applyNumberFormat="1" applyBorder="1"/>
    <xf numFmtId="0" fontId="16" fillId="0" borderId="0" xfId="0" applyFont="1" applyProtection="1">
      <protection hidden="1"/>
    </xf>
    <xf numFmtId="0" fontId="0" fillId="0" borderId="22" xfId="0" applyBorder="1"/>
    <xf numFmtId="3" fontId="0" fillId="0" borderId="23" xfId="0" applyNumberFormat="1" applyBorder="1"/>
    <xf numFmtId="0" fontId="21" fillId="0" borderId="0" xfId="0" applyFont="1"/>
    <xf numFmtId="3" fontId="3" fillId="0" borderId="0" xfId="118" quotePrefix="1" applyNumberFormat="1" applyFont="1"/>
    <xf numFmtId="0" fontId="22" fillId="0" borderId="0" xfId="0" applyFont="1"/>
    <xf numFmtId="0" fontId="0" fillId="0" borderId="21" xfId="0" applyBorder="1"/>
    <xf numFmtId="3" fontId="0" fillId="23" borderId="10" xfId="0" applyNumberFormat="1" applyFill="1" applyBorder="1" applyProtection="1">
      <protection locked="0"/>
    </xf>
    <xf numFmtId="3" fontId="0" fillId="23" borderId="10" xfId="0" applyNumberFormat="1" applyFill="1" applyBorder="1" applyAlignment="1" applyProtection="1">
      <alignment vertical="center"/>
      <protection locked="0"/>
    </xf>
    <xf numFmtId="164" fontId="5" fillId="23" borderId="10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Alignment="1">
      <alignment vertical="center"/>
    </xf>
    <xf numFmtId="164" fontId="5" fillId="0" borderId="0" xfId="0" quotePrefix="1" applyNumberFormat="1" applyFont="1"/>
    <xf numFmtId="164" fontId="5" fillId="24" borderId="0" xfId="0" applyNumberFormat="1" applyFont="1" applyFill="1"/>
    <xf numFmtId="3" fontId="3" fillId="23" borderId="10" xfId="0" applyNumberFormat="1" applyFont="1" applyFill="1" applyBorder="1" applyProtection="1">
      <protection locked="0"/>
    </xf>
    <xf numFmtId="3" fontId="5" fillId="24" borderId="0" xfId="0" applyNumberFormat="1" applyFont="1" applyFill="1"/>
    <xf numFmtId="3" fontId="10" fillId="24" borderId="0" xfId="0" applyNumberFormat="1" applyFont="1" applyFill="1"/>
    <xf numFmtId="3" fontId="5" fillId="23" borderId="10" xfId="0" applyNumberFormat="1" applyFont="1" applyFill="1" applyBorder="1" applyProtection="1">
      <protection locked="0"/>
    </xf>
    <xf numFmtId="164" fontId="5" fillId="25" borderId="0" xfId="0" applyNumberFormat="1" applyFont="1" applyFill="1"/>
    <xf numFmtId="3" fontId="0" fillId="23" borderId="24" xfId="0" applyNumberFormat="1" applyFill="1" applyBorder="1" applyProtection="1">
      <protection locked="0"/>
    </xf>
    <xf numFmtId="0" fontId="0" fillId="26" borderId="0" xfId="0" applyFill="1"/>
    <xf numFmtId="0" fontId="0" fillId="26" borderId="25" xfId="0" applyFill="1" applyBorder="1"/>
    <xf numFmtId="0" fontId="0" fillId="26" borderId="26" xfId="0" applyFill="1" applyBorder="1"/>
    <xf numFmtId="0" fontId="3" fillId="26" borderId="26" xfId="0" applyFont="1" applyFill="1" applyBorder="1" applyAlignment="1">
      <alignment horizontal="center"/>
    </xf>
    <xf numFmtId="0" fontId="3" fillId="26" borderId="26" xfId="0" applyFont="1" applyFill="1" applyBorder="1" applyAlignment="1">
      <alignment horizontal="center" vertical="center"/>
    </xf>
    <xf numFmtId="0" fontId="0" fillId="26" borderId="27" xfId="0" applyFill="1" applyBorder="1"/>
    <xf numFmtId="0" fontId="0" fillId="26" borderId="28" xfId="0" applyFill="1" applyBorder="1"/>
    <xf numFmtId="0" fontId="3" fillId="26" borderId="0" xfId="0" applyFont="1" applyFill="1" applyAlignment="1">
      <alignment horizontal="center"/>
    </xf>
    <xf numFmtId="0" fontId="5" fillId="26" borderId="0" xfId="0" applyFont="1" applyFill="1" applyAlignment="1">
      <alignment horizontal="center" vertical="center"/>
    </xf>
    <xf numFmtId="0" fontId="0" fillId="26" borderId="29" xfId="0" applyFill="1" applyBorder="1"/>
    <xf numFmtId="0" fontId="0" fillId="26" borderId="30" xfId="0" applyFill="1" applyBorder="1"/>
    <xf numFmtId="0" fontId="0" fillId="26" borderId="31" xfId="0" applyFill="1" applyBorder="1"/>
    <xf numFmtId="0" fontId="5" fillId="26" borderId="31" xfId="0" applyFont="1" applyFill="1" applyBorder="1" applyAlignment="1">
      <alignment horizontal="center"/>
    </xf>
    <xf numFmtId="0" fontId="5" fillId="26" borderId="31" xfId="0" applyFont="1" applyFill="1" applyBorder="1" applyAlignment="1">
      <alignment horizontal="center" vertical="center"/>
    </xf>
    <xf numFmtId="0" fontId="0" fillId="26" borderId="32" xfId="0" applyFill="1" applyBorder="1"/>
    <xf numFmtId="168" fontId="5" fillId="0" borderId="0" xfId="0" applyNumberFormat="1" applyFont="1"/>
    <xf numFmtId="3" fontId="0" fillId="0" borderId="10" xfId="0" applyNumberFormat="1" applyBorder="1"/>
    <xf numFmtId="168" fontId="0" fillId="0" borderId="10" xfId="0" applyNumberFormat="1" applyBorder="1"/>
    <xf numFmtId="3" fontId="0" fillId="0" borderId="24" xfId="0" applyNumberFormat="1" applyBorder="1"/>
    <xf numFmtId="0" fontId="0" fillId="0" borderId="33" xfId="0" applyBorder="1"/>
    <xf numFmtId="0" fontId="0" fillId="0" borderId="34" xfId="0" applyBorder="1"/>
    <xf numFmtId="168" fontId="0" fillId="0" borderId="34" xfId="0" applyNumberFormat="1" applyBorder="1"/>
    <xf numFmtId="164" fontId="5" fillId="0" borderId="10" xfId="0" applyNumberFormat="1" applyFont="1" applyBorder="1" applyAlignment="1">
      <alignment vertical="center"/>
    </xf>
    <xf numFmtId="0" fontId="52" fillId="0" borderId="0" xfId="0" applyFont="1"/>
    <xf numFmtId="1" fontId="5" fillId="0" borderId="0" xfId="0" applyNumberFormat="1" applyFo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9" fontId="5" fillId="0" borderId="0" xfId="0" applyNumberFormat="1" applyFont="1"/>
    <xf numFmtId="164" fontId="5" fillId="0" borderId="0" xfId="0" applyNumberFormat="1" applyFont="1"/>
    <xf numFmtId="164" fontId="5" fillId="27" borderId="0" xfId="0" applyNumberFormat="1" applyFont="1" applyFill="1"/>
    <xf numFmtId="164" fontId="3" fillId="0" borderId="0" xfId="0" applyNumberFormat="1" applyFont="1"/>
    <xf numFmtId="168" fontId="5" fillId="27" borderId="0" xfId="0" applyNumberFormat="1" applyFont="1" applyFill="1"/>
    <xf numFmtId="168" fontId="5" fillId="0" borderId="0" xfId="0" quotePrefix="1" applyNumberFormat="1" applyFont="1"/>
    <xf numFmtId="168" fontId="3" fillId="0" borderId="0" xfId="0" applyNumberFormat="1" applyFont="1"/>
    <xf numFmtId="168" fontId="5" fillId="0" borderId="0" xfId="118" quotePrefix="1" applyNumberFormat="1"/>
    <xf numFmtId="168" fontId="5" fillId="0" borderId="0" xfId="142" quotePrefix="1" applyNumberFormat="1"/>
    <xf numFmtId="168" fontId="5" fillId="0" borderId="0" xfId="140" quotePrefix="1" applyNumberFormat="1"/>
    <xf numFmtId="0" fontId="5" fillId="24" borderId="0" xfId="118" quotePrefix="1" applyFill="1"/>
    <xf numFmtId="3" fontId="5" fillId="24" borderId="0" xfId="118" quotePrefix="1" applyNumberFormat="1" applyFill="1"/>
    <xf numFmtId="3" fontId="10" fillId="0" borderId="0" xfId="0" applyNumberFormat="1" applyFont="1"/>
    <xf numFmtId="3" fontId="5" fillId="0" borderId="0" xfId="118" quotePrefix="1" applyNumberFormat="1"/>
    <xf numFmtId="3" fontId="5" fillId="28" borderId="0" xfId="0" applyNumberFormat="1" applyFont="1" applyFill="1"/>
    <xf numFmtId="3" fontId="3" fillId="25" borderId="0" xfId="0" applyNumberFormat="1" applyFont="1" applyFill="1"/>
    <xf numFmtId="168" fontId="5" fillId="23" borderId="0" xfId="0" applyNumberFormat="1" applyFont="1" applyFill="1"/>
    <xf numFmtId="168" fontId="5" fillId="27" borderId="0" xfId="0" quotePrefix="1" applyNumberFormat="1" applyFont="1" applyFill="1" applyAlignment="1">
      <alignment vertical="center"/>
    </xf>
    <xf numFmtId="3" fontId="5" fillId="23" borderId="0" xfId="0" applyNumberFormat="1" applyFont="1" applyFill="1"/>
    <xf numFmtId="3" fontId="5" fillId="27" borderId="0" xfId="0" applyNumberFormat="1" applyFont="1" applyFill="1"/>
    <xf numFmtId="0" fontId="5" fillId="24" borderId="0" xfId="0" applyFont="1" applyFill="1"/>
    <xf numFmtId="168" fontId="22" fillId="0" borderId="0" xfId="0" applyNumberFormat="1" applyFont="1"/>
    <xf numFmtId="3" fontId="22" fillId="0" borderId="0" xfId="0" applyNumberFormat="1" applyFont="1"/>
    <xf numFmtId="3" fontId="22" fillId="27" borderId="0" xfId="0" applyNumberFormat="1" applyFont="1" applyFill="1"/>
    <xf numFmtId="178" fontId="5" fillId="0" borderId="0" xfId="228" applyNumberFormat="1" applyFont="1" applyFill="1" applyBorder="1" applyProtection="1"/>
    <xf numFmtId="168" fontId="5" fillId="0" borderId="0" xfId="0" quotePrefix="1" applyNumberFormat="1" applyFont="1" applyAlignment="1">
      <alignment vertical="center"/>
    </xf>
    <xf numFmtId="168" fontId="5" fillId="29" borderId="0" xfId="0" quotePrefix="1" applyNumberFormat="1" applyFont="1" applyFill="1" applyAlignment="1">
      <alignment vertical="center"/>
    </xf>
    <xf numFmtId="168" fontId="0" fillId="30" borderId="0" xfId="0" quotePrefix="1" applyNumberFormat="1" applyFill="1" applyAlignment="1">
      <alignment vertical="center"/>
    </xf>
    <xf numFmtId="168" fontId="5" fillId="30" borderId="0" xfId="0" quotePrefix="1" applyNumberFormat="1" applyFont="1" applyFill="1" applyAlignment="1">
      <alignment vertical="center"/>
    </xf>
    <xf numFmtId="167" fontId="5" fillId="0" borderId="0" xfId="0" quotePrefix="1" applyNumberFormat="1" applyFont="1" applyAlignment="1">
      <alignment vertical="center"/>
    </xf>
    <xf numFmtId="167" fontId="0" fillId="30" borderId="0" xfId="0" quotePrefix="1" applyNumberFormat="1" applyFill="1" applyAlignment="1">
      <alignment vertical="center"/>
    </xf>
    <xf numFmtId="165" fontId="0" fillId="0" borderId="0" xfId="0" quotePrefix="1" applyNumberFormat="1" applyAlignment="1">
      <alignment vertical="center"/>
    </xf>
    <xf numFmtId="167" fontId="5" fillId="30" borderId="0" xfId="0" quotePrefix="1" applyNumberFormat="1" applyFont="1" applyFill="1" applyAlignment="1">
      <alignment vertical="center"/>
    </xf>
    <xf numFmtId="165" fontId="5" fillId="23" borderId="0" xfId="0" quotePrefix="1" applyNumberFormat="1" applyFont="1" applyFill="1" applyAlignment="1">
      <alignment vertical="center"/>
    </xf>
    <xf numFmtId="167" fontId="5" fillId="23" borderId="0" xfId="0" quotePrefix="1" applyNumberFormat="1" applyFont="1" applyFill="1" applyAlignment="1">
      <alignment vertical="center"/>
    </xf>
    <xf numFmtId="165" fontId="3" fillId="30" borderId="0" xfId="0" quotePrefix="1" applyNumberFormat="1" applyFont="1" applyFill="1" applyAlignment="1">
      <alignment vertical="center"/>
    </xf>
    <xf numFmtId="165" fontId="5" fillId="30" borderId="0" xfId="0" quotePrefix="1" applyNumberFormat="1" applyFont="1" applyFill="1" applyAlignment="1">
      <alignment vertical="center"/>
    </xf>
    <xf numFmtId="165" fontId="0" fillId="30" borderId="0" xfId="0" quotePrefix="1" applyNumberFormat="1" applyFill="1" applyAlignment="1">
      <alignment vertical="center"/>
    </xf>
    <xf numFmtId="167" fontId="3" fillId="30" borderId="0" xfId="0" quotePrefix="1" applyNumberFormat="1" applyFont="1" applyFill="1" applyAlignment="1">
      <alignment vertical="center"/>
    </xf>
    <xf numFmtId="165" fontId="5" fillId="31" borderId="0" xfId="0" quotePrefix="1" applyNumberFormat="1" applyFont="1" applyFill="1" applyAlignment="1">
      <alignment vertical="center"/>
    </xf>
    <xf numFmtId="167" fontId="0" fillId="0" borderId="0" xfId="0" quotePrefix="1" applyNumberFormat="1" applyAlignment="1">
      <alignment vertical="center"/>
    </xf>
    <xf numFmtId="168" fontId="0" fillId="0" borderId="0" xfId="0" quotePrefix="1" applyNumberFormat="1" applyAlignment="1">
      <alignment vertical="center"/>
    </xf>
    <xf numFmtId="165" fontId="5" fillId="30" borderId="0" xfId="228" quotePrefix="1" applyNumberFormat="1" applyFont="1" applyFill="1" applyAlignment="1">
      <alignment vertical="center"/>
    </xf>
    <xf numFmtId="165" fontId="0" fillId="32" borderId="0" xfId="0" quotePrefix="1" applyNumberFormat="1" applyFill="1" applyAlignment="1">
      <alignment vertical="center"/>
    </xf>
    <xf numFmtId="165" fontId="0" fillId="23" borderId="0" xfId="0" quotePrefix="1" applyNumberFormat="1" applyFill="1" applyAlignment="1">
      <alignment vertical="center"/>
    </xf>
    <xf numFmtId="165" fontId="0" fillId="27" borderId="0" xfId="0" quotePrefix="1" applyNumberFormat="1" applyFill="1" applyAlignment="1">
      <alignment vertical="center"/>
    </xf>
    <xf numFmtId="165" fontId="5" fillId="0" borderId="0" xfId="0" quotePrefix="1" applyNumberFormat="1" applyFont="1" applyAlignment="1">
      <alignment vertical="center"/>
    </xf>
    <xf numFmtId="171" fontId="0" fillId="0" borderId="0" xfId="31" applyNumberFormat="1" applyFont="1"/>
    <xf numFmtId="171" fontId="0" fillId="0" borderId="0" xfId="31" applyNumberFormat="1" applyFont="1" applyAlignment="1">
      <alignment vertical="center"/>
    </xf>
    <xf numFmtId="165" fontId="0" fillId="0" borderId="0" xfId="0" applyNumberFormat="1"/>
    <xf numFmtId="165" fontId="0" fillId="27" borderId="0" xfId="0" applyNumberFormat="1" applyFill="1"/>
    <xf numFmtId="167" fontId="3" fillId="27" borderId="0" xfId="228" applyNumberFormat="1" applyFont="1" applyFill="1"/>
    <xf numFmtId="167" fontId="0" fillId="0" borderId="0" xfId="228" applyNumberFormat="1" applyFont="1"/>
    <xf numFmtId="168" fontId="5" fillId="0" borderId="0" xfId="43" quotePrefix="1" applyNumberFormat="1" applyFont="1"/>
    <xf numFmtId="171" fontId="5" fillId="0" borderId="0" xfId="31" quotePrefix="1" applyNumberFormat="1" applyFont="1"/>
    <xf numFmtId="168" fontId="5" fillId="0" borderId="0" xfId="160" quotePrefix="1" applyNumberFormat="1"/>
    <xf numFmtId="167" fontId="0" fillId="0" borderId="0" xfId="0" applyNumberFormat="1"/>
    <xf numFmtId="165" fontId="10" fillId="0" borderId="0" xfId="228" applyNumberFormat="1" applyFont="1"/>
    <xf numFmtId="165" fontId="0" fillId="0" borderId="0" xfId="31" applyNumberFormat="1" applyFont="1"/>
    <xf numFmtId="165" fontId="0" fillId="0" borderId="0" xfId="31" applyNumberFormat="1" applyFont="1" applyAlignment="1">
      <alignment vertical="center"/>
    </xf>
    <xf numFmtId="165" fontId="10" fillId="0" borderId="0" xfId="31" applyNumberFormat="1" applyFont="1" applyAlignment="1">
      <alignment vertical="center"/>
    </xf>
    <xf numFmtId="165" fontId="5" fillId="0" borderId="0" xfId="31" quotePrefix="1" applyNumberFormat="1" applyFont="1"/>
    <xf numFmtId="167" fontId="0" fillId="23" borderId="0" xfId="0" quotePrefix="1" applyNumberFormat="1" applyFill="1" applyAlignment="1">
      <alignment vertical="center"/>
    </xf>
    <xf numFmtId="168" fontId="0" fillId="0" borderId="0" xfId="228" applyNumberFormat="1" applyFont="1"/>
    <xf numFmtId="3" fontId="5" fillId="0" borderId="0" xfId="31" quotePrefix="1" applyNumberFormat="1" applyFont="1"/>
    <xf numFmtId="168" fontId="5" fillId="0" borderId="0" xfId="168" quotePrefix="1" applyNumberFormat="1"/>
    <xf numFmtId="167" fontId="5" fillId="0" borderId="0" xfId="31" quotePrefix="1" applyNumberFormat="1" applyFont="1"/>
    <xf numFmtId="164" fontId="10" fillId="0" borderId="0" xfId="0" applyNumberFormat="1" applyFont="1"/>
    <xf numFmtId="168" fontId="5" fillId="0" borderId="0" xfId="31" quotePrefix="1" applyNumberFormat="1" applyFont="1"/>
    <xf numFmtId="167" fontId="22" fillId="0" borderId="0" xfId="0" applyNumberFormat="1" applyFont="1"/>
    <xf numFmtId="0" fontId="15" fillId="0" borderId="0" xfId="0" applyFont="1"/>
    <xf numFmtId="167" fontId="5" fillId="0" borderId="0" xfId="0" applyNumberFormat="1" applyFont="1"/>
    <xf numFmtId="0" fontId="15" fillId="0" borderId="35" xfId="0" applyFont="1" applyBorder="1" applyAlignment="1">
      <alignment horizontal="left" vertical="center"/>
    </xf>
    <xf numFmtId="37" fontId="5" fillId="0" borderId="0" xfId="31" applyNumberFormat="1" applyFont="1" applyFill="1" applyAlignment="1">
      <alignment horizontal="center" vertical="center"/>
    </xf>
    <xf numFmtId="37" fontId="5" fillId="0" borderId="0" xfId="31" quotePrefix="1" applyNumberFormat="1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7" fontId="5" fillId="0" borderId="0" xfId="31" quotePrefix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8" fontId="5" fillId="0" borderId="0" xfId="31" quotePrefix="1" applyNumberFormat="1" applyFont="1" applyAlignment="1">
      <alignment horizontal="center" vertical="center"/>
    </xf>
    <xf numFmtId="171" fontId="5" fillId="0" borderId="0" xfId="31" applyNumberFormat="1" applyFont="1" applyFill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3" fontId="3" fillId="32" borderId="0" xfId="0" applyNumberFormat="1" applyFont="1" applyFill="1"/>
    <xf numFmtId="3" fontId="3" fillId="32" borderId="0" xfId="0" applyNumberFormat="1" applyFont="1" applyFill="1" applyAlignment="1">
      <alignment horizontal="center" vertical="center"/>
    </xf>
    <xf numFmtId="0" fontId="3" fillId="28" borderId="0" xfId="0" applyFont="1" applyFill="1"/>
    <xf numFmtId="3" fontId="3" fillId="28" borderId="0" xfId="0" quotePrefix="1" applyNumberFormat="1" applyFont="1" applyFill="1" applyAlignment="1">
      <alignment vertical="center"/>
    </xf>
    <xf numFmtId="164" fontId="5" fillId="26" borderId="0" xfId="163" quotePrefix="1" applyNumberFormat="1" applyFill="1"/>
    <xf numFmtId="167" fontId="3" fillId="26" borderId="0" xfId="171" quotePrefix="1" applyNumberFormat="1" applyFont="1" applyFill="1"/>
    <xf numFmtId="167" fontId="3" fillId="24" borderId="0" xfId="228" applyNumberFormat="1" applyFont="1" applyFill="1"/>
    <xf numFmtId="168" fontId="5" fillId="0" borderId="0" xfId="173" quotePrefix="1" applyNumberFormat="1"/>
    <xf numFmtId="168" fontId="5" fillId="0" borderId="0" xfId="174" quotePrefix="1" applyNumberFormat="1"/>
    <xf numFmtId="164" fontId="5" fillId="26" borderId="0" xfId="0" quotePrefix="1" applyNumberFormat="1" applyFont="1" applyFill="1"/>
    <xf numFmtId="0" fontId="3" fillId="0" borderId="0" xfId="155" applyFont="1"/>
    <xf numFmtId="0" fontId="5" fillId="0" borderId="0" xfId="155"/>
    <xf numFmtId="0" fontId="7" fillId="0" borderId="0" xfId="155" applyFont="1"/>
    <xf numFmtId="0" fontId="5" fillId="24" borderId="0" xfId="155" applyFill="1"/>
    <xf numFmtId="0" fontId="5" fillId="27" borderId="0" xfId="155" applyFill="1"/>
    <xf numFmtId="0" fontId="5" fillId="23" borderId="0" xfId="155" applyFill="1"/>
    <xf numFmtId="0" fontId="3" fillId="24" borderId="0" xfId="151" applyFont="1" applyFill="1"/>
    <xf numFmtId="0" fontId="5" fillId="24" borderId="0" xfId="151" applyFill="1"/>
    <xf numFmtId="0" fontId="56" fillId="0" borderId="0" xfId="155" applyFont="1"/>
    <xf numFmtId="0" fontId="13" fillId="0" borderId="0" xfId="155" applyFont="1"/>
    <xf numFmtId="0" fontId="4" fillId="0" borderId="0" xfId="155" applyFont="1" applyAlignment="1">
      <alignment horizontal="left" vertical="center"/>
    </xf>
    <xf numFmtId="0" fontId="4" fillId="0" borderId="0" xfId="155" applyFont="1"/>
    <xf numFmtId="0" fontId="7" fillId="0" borderId="0" xfId="155" applyFont="1" applyAlignment="1">
      <alignment horizontal="left" vertical="center"/>
    </xf>
    <xf numFmtId="0" fontId="12" fillId="0" borderId="0" xfId="155" applyFont="1" applyAlignment="1">
      <alignment horizontal="left" vertical="center"/>
    </xf>
    <xf numFmtId="0" fontId="5" fillId="0" borderId="0" xfId="155" applyAlignment="1">
      <alignment horizontal="left" indent="1"/>
    </xf>
    <xf numFmtId="0" fontId="5" fillId="0" borderId="0" xfId="155" applyAlignment="1">
      <alignment horizontal="left" vertical="center"/>
    </xf>
    <xf numFmtId="0" fontId="5" fillId="27" borderId="0" xfId="155" applyFill="1" applyAlignment="1">
      <alignment horizontal="left" vertical="center"/>
    </xf>
    <xf numFmtId="0" fontId="5" fillId="32" borderId="0" xfId="155" applyFill="1" applyAlignment="1">
      <alignment horizontal="left" vertical="center"/>
    </xf>
    <xf numFmtId="0" fontId="3" fillId="0" borderId="0" xfId="155" applyFont="1" applyAlignment="1">
      <alignment horizontal="left" vertical="center"/>
    </xf>
    <xf numFmtId="0" fontId="5" fillId="0" borderId="0" xfId="155" applyAlignment="1">
      <alignment horizontal="left" vertical="center" indent="1"/>
    </xf>
    <xf numFmtId="0" fontId="20" fillId="0" borderId="0" xfId="155" applyFont="1" applyAlignment="1" applyProtection="1">
      <alignment horizontal="left" vertical="center"/>
      <protection hidden="1"/>
    </xf>
    <xf numFmtId="0" fontId="3" fillId="0" borderId="0" xfId="155" applyFont="1" applyAlignment="1">
      <alignment horizontal="left" vertical="center" indent="1"/>
    </xf>
    <xf numFmtId="0" fontId="5" fillId="33" borderId="0" xfId="155" applyFill="1" applyAlignment="1">
      <alignment horizontal="left" vertical="center"/>
    </xf>
    <xf numFmtId="0" fontId="20" fillId="27" borderId="0" xfId="156" applyFont="1" applyFill="1" applyAlignment="1" applyProtection="1">
      <alignment vertical="center"/>
      <protection hidden="1"/>
    </xf>
    <xf numFmtId="0" fontId="5" fillId="34" borderId="0" xfId="155" applyFill="1"/>
    <xf numFmtId="0" fontId="21" fillId="0" borderId="0" xfId="155" applyFont="1"/>
    <xf numFmtId="0" fontId="3" fillId="34" borderId="0" xfId="155" applyFont="1" applyFill="1"/>
    <xf numFmtId="0" fontId="3" fillId="25" borderId="0" xfId="155" applyFont="1" applyFill="1"/>
    <xf numFmtId="0" fontId="5" fillId="28" borderId="0" xfId="155" applyFill="1"/>
    <xf numFmtId="0" fontId="22" fillId="0" borderId="0" xfId="155" applyFont="1"/>
    <xf numFmtId="0" fontId="19" fillId="25" borderId="0" xfId="155" applyFont="1" applyFill="1"/>
    <xf numFmtId="0" fontId="54" fillId="23" borderId="0" xfId="159" applyFill="1"/>
    <xf numFmtId="0" fontId="54" fillId="0" borderId="0" xfId="159"/>
    <xf numFmtId="0" fontId="12" fillId="0" borderId="0" xfId="155" applyFont="1"/>
    <xf numFmtId="0" fontId="7" fillId="34" borderId="0" xfId="155" applyFont="1" applyFill="1"/>
    <xf numFmtId="0" fontId="5" fillId="32" borderId="0" xfId="155" applyFill="1"/>
    <xf numFmtId="0" fontId="5" fillId="30" borderId="0" xfId="155" applyFill="1"/>
    <xf numFmtId="0" fontId="5" fillId="35" borderId="0" xfId="155" applyFill="1"/>
    <xf numFmtId="0" fontId="22" fillId="34" borderId="0" xfId="155" applyFont="1" applyFill="1"/>
    <xf numFmtId="0" fontId="15" fillId="34" borderId="0" xfId="155" applyFont="1" applyFill="1"/>
    <xf numFmtId="0" fontId="22" fillId="32" borderId="0" xfId="155" applyFont="1" applyFill="1"/>
    <xf numFmtId="0" fontId="20" fillId="34" borderId="0" xfId="156" applyFont="1" applyFill="1" applyAlignment="1" applyProtection="1">
      <alignment vertical="center"/>
      <protection hidden="1"/>
    </xf>
    <xf numFmtId="0" fontId="22" fillId="26" borderId="0" xfId="155" applyFont="1" applyFill="1"/>
    <xf numFmtId="0" fontId="5" fillId="26" borderId="0" xfId="155" applyFill="1"/>
    <xf numFmtId="164" fontId="0" fillId="0" borderId="0" xfId="0" applyNumberFormat="1"/>
    <xf numFmtId="167" fontId="3" fillId="26" borderId="0" xfId="228" applyNumberFormat="1" applyFont="1" applyFill="1"/>
    <xf numFmtId="167" fontId="3" fillId="0" borderId="0" xfId="228" applyNumberFormat="1" applyFont="1" applyFill="1"/>
    <xf numFmtId="0" fontId="3" fillId="28" borderId="0" xfId="162" applyFont="1" applyFill="1"/>
    <xf numFmtId="0" fontId="57" fillId="28" borderId="0" xfId="158" applyFont="1" applyFill="1"/>
    <xf numFmtId="165" fontId="3" fillId="0" borderId="0" xfId="167" quotePrefix="1" applyNumberFormat="1" applyFont="1"/>
    <xf numFmtId="164" fontId="3" fillId="26" borderId="0" xfId="0" applyNumberFormat="1" applyFont="1" applyFill="1"/>
    <xf numFmtId="0" fontId="5" fillId="34" borderId="0" xfId="155" applyFill="1" applyAlignment="1">
      <alignment horizontal="left" vertical="center"/>
    </xf>
    <xf numFmtId="0" fontId="0" fillId="36" borderId="0" xfId="0" applyFill="1"/>
    <xf numFmtId="0" fontId="58" fillId="36" borderId="0" xfId="0" applyFont="1" applyFill="1"/>
    <xf numFmtId="0" fontId="2" fillId="36" borderId="0" xfId="0" applyFont="1" applyFill="1" applyAlignment="1">
      <alignment horizontal="center"/>
    </xf>
    <xf numFmtId="0" fontId="0" fillId="36" borderId="0" xfId="0" applyFill="1" applyAlignment="1">
      <alignment vertical="center"/>
    </xf>
    <xf numFmtId="166" fontId="3" fillId="36" borderId="0" xfId="0" applyNumberFormat="1" applyFont="1" applyFill="1" applyAlignment="1">
      <alignment horizontal="center"/>
    </xf>
    <xf numFmtId="0" fontId="5" fillId="36" borderId="0" xfId="0" applyFont="1" applyFill="1" applyAlignment="1">
      <alignment horizontal="left" vertical="center"/>
    </xf>
    <xf numFmtId="0" fontId="9" fillId="36" borderId="0" xfId="0" applyFont="1" applyFill="1" applyAlignment="1">
      <alignment horizontal="center"/>
    </xf>
    <xf numFmtId="0" fontId="59" fillId="36" borderId="0" xfId="0" applyFont="1" applyFill="1" applyAlignment="1">
      <alignment horizontal="center" vertical="center"/>
    </xf>
    <xf numFmtId="0" fontId="59" fillId="36" borderId="0" xfId="0" applyFont="1" applyFill="1" applyAlignment="1">
      <alignment horizontal="left" vertical="center"/>
    </xf>
    <xf numFmtId="0" fontId="3" fillId="36" borderId="0" xfId="0" applyFont="1" applyFill="1"/>
    <xf numFmtId="0" fontId="60" fillId="36" borderId="0" xfId="0" applyFont="1" applyFill="1" applyAlignment="1">
      <alignment horizontal="left" vertical="center"/>
    </xf>
    <xf numFmtId="170" fontId="5" fillId="0" borderId="0" xfId="0" applyNumberFormat="1" applyFont="1"/>
    <xf numFmtId="0" fontId="3" fillId="0" borderId="0" xfId="176" applyFont="1"/>
    <xf numFmtId="0" fontId="3" fillId="0" borderId="0" xfId="176" applyFont="1" applyAlignment="1">
      <alignment horizontal="center"/>
    </xf>
    <xf numFmtId="169" fontId="3" fillId="0" borderId="0" xfId="176" applyNumberFormat="1" applyFont="1"/>
    <xf numFmtId="170" fontId="3" fillId="0" borderId="0" xfId="176" applyNumberFormat="1" applyFont="1"/>
    <xf numFmtId="0" fontId="3" fillId="0" borderId="38" xfId="0" applyFont="1" applyBorder="1" applyAlignment="1">
      <alignment horizontal="center" vertical="center"/>
    </xf>
    <xf numFmtId="166" fontId="3" fillId="0" borderId="39" xfId="0" applyNumberFormat="1" applyFont="1" applyBorder="1" applyAlignment="1">
      <alignment horizontal="center" vertical="center"/>
    </xf>
    <xf numFmtId="166" fontId="3" fillId="36" borderId="0" xfId="0" applyNumberFormat="1" applyFont="1" applyFill="1" applyAlignment="1">
      <alignment horizontal="center" vertical="center"/>
    </xf>
    <xf numFmtId="0" fontId="8" fillId="0" borderId="0" xfId="64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indent="2"/>
    </xf>
    <xf numFmtId="0" fontId="62" fillId="0" borderId="0" xfId="64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16" fillId="0" borderId="0" xfId="0" applyFont="1"/>
    <xf numFmtId="0" fontId="5" fillId="23" borderId="36" xfId="0" applyFont="1" applyFill="1" applyBorder="1" applyProtection="1">
      <protection locked="0"/>
    </xf>
    <xf numFmtId="0" fontId="0" fillId="23" borderId="5" xfId="0" applyFill="1" applyBorder="1" applyProtection="1">
      <protection locked="0"/>
    </xf>
    <xf numFmtId="0" fontId="0" fillId="23" borderId="37" xfId="0" applyFill="1" applyBorder="1" applyProtection="1">
      <protection locked="0"/>
    </xf>
    <xf numFmtId="1" fontId="59" fillId="36" borderId="0" xfId="0" applyNumberFormat="1" applyFont="1" applyFill="1" applyAlignment="1">
      <alignment vertical="center"/>
    </xf>
    <xf numFmtId="0" fontId="61" fillId="36" borderId="0" xfId="0" applyFont="1" applyFill="1" applyAlignment="1">
      <alignment vertical="center"/>
    </xf>
    <xf numFmtId="170" fontId="0" fillId="23" borderId="36" xfId="0" applyNumberFormat="1" applyFill="1" applyBorder="1" applyProtection="1">
      <protection locked="0"/>
    </xf>
    <xf numFmtId="170" fontId="0" fillId="23" borderId="5" xfId="0" applyNumberFormat="1" applyFill="1" applyBorder="1" applyProtection="1">
      <protection locked="0"/>
    </xf>
    <xf numFmtId="170" fontId="0" fillId="23" borderId="37" xfId="0" applyNumberFormat="1" applyFill="1" applyBorder="1" applyProtection="1">
      <protection locked="0"/>
    </xf>
    <xf numFmtId="0" fontId="8" fillId="0" borderId="0" xfId="64" applyBorder="1" applyAlignment="1" applyProtection="1">
      <alignment horizontal="left" vertical="center"/>
      <protection locked="0"/>
    </xf>
    <xf numFmtId="0" fontId="0" fillId="23" borderId="36" xfId="0" applyFill="1" applyBorder="1" applyProtection="1">
      <protection locked="0"/>
    </xf>
    <xf numFmtId="169" fontId="0" fillId="23" borderId="36" xfId="0" applyNumberFormat="1" applyFill="1" applyBorder="1" applyProtection="1">
      <protection locked="0"/>
    </xf>
    <xf numFmtId="169" fontId="0" fillId="23" borderId="5" xfId="0" applyNumberFormat="1" applyFill="1" applyBorder="1" applyProtection="1">
      <protection locked="0"/>
    </xf>
    <xf numFmtId="169" fontId="0" fillId="23" borderId="37" xfId="0" applyNumberFormat="1" applyFill="1" applyBorder="1" applyProtection="1">
      <protection locked="0"/>
    </xf>
  </cellXfs>
  <cellStyles count="25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ctual Date" xfId="25"/>
    <cellStyle name="Actual Date 2" xfId="26"/>
    <cellStyle name="Bad 2" xfId="27"/>
    <cellStyle name="balances" xfId="28"/>
    <cellStyle name="Calculation 2" xfId="29"/>
    <cellStyle name="Check Cell 2" xfId="30"/>
    <cellStyle name="Comma 2" xfId="31"/>
    <cellStyle name="Comma 2 2" xfId="32"/>
    <cellStyle name="Comma 3" xfId="33"/>
    <cellStyle name="Comma 3 2" xfId="34"/>
    <cellStyle name="Comma 3 2 2" xfId="35"/>
    <cellStyle name="Comma 3 3" xfId="36"/>
    <cellStyle name="Comma 4" xfId="37"/>
    <cellStyle name="Comma 5" xfId="38"/>
    <cellStyle name="Currency 2" xfId="39"/>
    <cellStyle name="Currency 2 2" xfId="40"/>
    <cellStyle name="Currency 3" xfId="41"/>
    <cellStyle name="Currency 3 2" xfId="42"/>
    <cellStyle name="Currency 4" xfId="43"/>
    <cellStyle name="Currency 4 2" xfId="44"/>
    <cellStyle name="Date" xfId="45"/>
    <cellStyle name="Excel.Chart" xfId="46"/>
    <cellStyle name="Explanatory Text 2" xfId="47"/>
    <cellStyle name="Fixed" xfId="48"/>
    <cellStyle name="Fixed 2" xfId="49"/>
    <cellStyle name="Good 2" xfId="50"/>
    <cellStyle name="Grey" xfId="51"/>
    <cellStyle name="HEADER" xfId="52"/>
    <cellStyle name="Header1" xfId="53"/>
    <cellStyle name="Header2" xfId="54"/>
    <cellStyle name="Heading 1 2" xfId="55"/>
    <cellStyle name="Heading 2 2" xfId="56"/>
    <cellStyle name="Heading 3 2" xfId="57"/>
    <cellStyle name="Heading 4 2" xfId="58"/>
    <cellStyle name="Heading1" xfId="59"/>
    <cellStyle name="Heading1 2" xfId="60"/>
    <cellStyle name="Heading2" xfId="61"/>
    <cellStyle name="Heading2 2" xfId="62"/>
    <cellStyle name="HIGHLIGHT" xfId="63"/>
    <cellStyle name="Hyperlink" xfId="64" builtinId="8"/>
    <cellStyle name="Hyperlink 2" xfId="65"/>
    <cellStyle name="Hyperlink 2 2" xfId="66"/>
    <cellStyle name="Hyperlink 2 3" xfId="67"/>
    <cellStyle name="Hyperlink 2 4" xfId="68"/>
    <cellStyle name="Hyperlink 2 5" xfId="69"/>
    <cellStyle name="Hyperlink 3" xfId="70"/>
    <cellStyle name="Hyperlink 4" xfId="71"/>
    <cellStyle name="Hyperlink 4 2" xfId="72"/>
    <cellStyle name="Hyperlink 4 3" xfId="73"/>
    <cellStyle name="Hyperlink 5" xfId="74"/>
    <cellStyle name="Input [yellow]" xfId="75"/>
    <cellStyle name="Input [yellow] 2" xfId="76"/>
    <cellStyle name="Input [yellow] 3" xfId="77"/>
    <cellStyle name="Input 2" xfId="78"/>
    <cellStyle name="Linked Cell 2" xfId="79"/>
    <cellStyle name="Neutral 2" xfId="80"/>
    <cellStyle name="no dec" xfId="81"/>
    <cellStyle name="Normal" xfId="0" builtinId="0"/>
    <cellStyle name="Normal - Style1" xfId="82"/>
    <cellStyle name="Normal - Style1 2" xfId="83"/>
    <cellStyle name="Normal 10" xfId="84"/>
    <cellStyle name="Normal 10 2" xfId="85"/>
    <cellStyle name="Normal 10 2 2" xfId="86"/>
    <cellStyle name="Normal 10 3" xfId="87"/>
    <cellStyle name="Normal 11" xfId="88"/>
    <cellStyle name="Normal 11 2" xfId="89"/>
    <cellStyle name="Normal 11 2 2" xfId="90"/>
    <cellStyle name="Normal 11 3" xfId="91"/>
    <cellStyle name="Normal 12" xfId="92"/>
    <cellStyle name="Normal 12 2" xfId="93"/>
    <cellStyle name="Normal 12 2 2" xfId="94"/>
    <cellStyle name="Normal 12 3" xfId="95"/>
    <cellStyle name="Normal 13" xfId="96"/>
    <cellStyle name="Normal 13 2" xfId="97"/>
    <cellStyle name="Normal 13 2 2" xfId="98"/>
    <cellStyle name="Normal 13 3" xfId="99"/>
    <cellStyle name="Normal 14" xfId="100"/>
    <cellStyle name="Normal 14 2" xfId="101"/>
    <cellStyle name="Normal 14 2 2" xfId="102"/>
    <cellStyle name="Normal 14 3" xfId="103"/>
    <cellStyle name="Normal 15" xfId="104"/>
    <cellStyle name="Normal 15 2" xfId="105"/>
    <cellStyle name="Normal 15 2 2" xfId="106"/>
    <cellStyle name="Normal 15 3" xfId="107"/>
    <cellStyle name="Normal 16" xfId="108"/>
    <cellStyle name="Normal 16 2" xfId="109"/>
    <cellStyle name="Normal 16 2 2" xfId="110"/>
    <cellStyle name="Normal 16 3" xfId="111"/>
    <cellStyle name="Normal 17" xfId="112"/>
    <cellStyle name="Normal 17 2" xfId="113"/>
    <cellStyle name="Normal 18" xfId="114"/>
    <cellStyle name="Normal 18 2" xfId="115"/>
    <cellStyle name="Normal 19" xfId="116"/>
    <cellStyle name="Normal 19 2" xfId="117"/>
    <cellStyle name="Normal 2" xfId="118"/>
    <cellStyle name="Normal 2 2" xfId="119"/>
    <cellStyle name="Normal 2 2 2" xfId="120"/>
    <cellStyle name="Normal 2 3" xfId="121"/>
    <cellStyle name="Normal 2 4" xfId="122"/>
    <cellStyle name="Normal 2_Data" xfId="123"/>
    <cellStyle name="Normal 20" xfId="124"/>
    <cellStyle name="Normal 20 2" xfId="125"/>
    <cellStyle name="Normal 21" xfId="126"/>
    <cellStyle name="Normal 21 2" xfId="127"/>
    <cellStyle name="Normal 22" xfId="128"/>
    <cellStyle name="Normal 22 2" xfId="129"/>
    <cellStyle name="Normal 23" xfId="130"/>
    <cellStyle name="Normal 23 2" xfId="131"/>
    <cellStyle name="Normal 24" xfId="132"/>
    <cellStyle name="Normal 24 2" xfId="133"/>
    <cellStyle name="Normal 25" xfId="134"/>
    <cellStyle name="Normal 25 2" xfId="135"/>
    <cellStyle name="Normal 26" xfId="136"/>
    <cellStyle name="Normal 26 2" xfId="137"/>
    <cellStyle name="Normal 27" xfId="138"/>
    <cellStyle name="Normal 27 2" xfId="139"/>
    <cellStyle name="Normal 28" xfId="140"/>
    <cellStyle name="Normal 28 2" xfId="141"/>
    <cellStyle name="Normal 29" xfId="142"/>
    <cellStyle name="Normal 29 2" xfId="143"/>
    <cellStyle name="Normal 3" xfId="144"/>
    <cellStyle name="Normal 3 2" xfId="145"/>
    <cellStyle name="Normal 3 3" xfId="146"/>
    <cellStyle name="Normal 30" xfId="147"/>
    <cellStyle name="Normal 30 2" xfId="148"/>
    <cellStyle name="Normal 31" xfId="149"/>
    <cellStyle name="Normal 31 2" xfId="150"/>
    <cellStyle name="Normal 32" xfId="151"/>
    <cellStyle name="Normal 32 2" xfId="152"/>
    <cellStyle name="Normal 33" xfId="153"/>
    <cellStyle name="Normal 33 2" xfId="154"/>
    <cellStyle name="Normal 34" xfId="155"/>
    <cellStyle name="Normal 35" xfId="156"/>
    <cellStyle name="Normal 35 2" xfId="157"/>
    <cellStyle name="Normal 36" xfId="158"/>
    <cellStyle name="Normal 36 2" xfId="159"/>
    <cellStyle name="Normal 37" xfId="160"/>
    <cellStyle name="Normal 37 2" xfId="161"/>
    <cellStyle name="Normal 38" xfId="162"/>
    <cellStyle name="Normal 39" xfId="163"/>
    <cellStyle name="Normal 4" xfId="164"/>
    <cellStyle name="Normal 4 2" xfId="165"/>
    <cellStyle name="Normal 4 3" xfId="166"/>
    <cellStyle name="Normal 40" xfId="167"/>
    <cellStyle name="Normal 41" xfId="168"/>
    <cellStyle name="Normal 41 2" xfId="169"/>
    <cellStyle name="Normal 42" xfId="170"/>
    <cellStyle name="Normal 43" xfId="171"/>
    <cellStyle name="Normal 44" xfId="172"/>
    <cellStyle name="Normal 45" xfId="173"/>
    <cellStyle name="Normal 46" xfId="174"/>
    <cellStyle name="Normal 47" xfId="175"/>
    <cellStyle name="Normal 48" xfId="176"/>
    <cellStyle name="Normal 49" xfId="177"/>
    <cellStyle name="Normal 5" xfId="178"/>
    <cellStyle name="Normal 5 2" xfId="179"/>
    <cellStyle name="Normal 5 3" xfId="180"/>
    <cellStyle name="Normal 5 3 2" xfId="181"/>
    <cellStyle name="Normal 5 4" xfId="182"/>
    <cellStyle name="Normal 5 4 2" xfId="183"/>
    <cellStyle name="Normal 5 5" xfId="184"/>
    <cellStyle name="Normal 50" xfId="185"/>
    <cellStyle name="Normal 51" xfId="186"/>
    <cellStyle name="Normal 52" xfId="187"/>
    <cellStyle name="Normal 53" xfId="188"/>
    <cellStyle name="Normal 54" xfId="189"/>
    <cellStyle name="Normal 55" xfId="190"/>
    <cellStyle name="Normal 56" xfId="191"/>
    <cellStyle name="Normal 57" xfId="192"/>
    <cellStyle name="Normal 58" xfId="193"/>
    <cellStyle name="Normal 59" xfId="194"/>
    <cellStyle name="Normal 6" xfId="195"/>
    <cellStyle name="Normal 6 2" xfId="196"/>
    <cellStyle name="Normal 6 3" xfId="197"/>
    <cellStyle name="Normal 60" xfId="198"/>
    <cellStyle name="Normal 61" xfId="199"/>
    <cellStyle name="Normal 62" xfId="200"/>
    <cellStyle name="Normal 63" xfId="201"/>
    <cellStyle name="Normal 64" xfId="202"/>
    <cellStyle name="Normal 65" xfId="203"/>
    <cellStyle name="Normal 7" xfId="204"/>
    <cellStyle name="Normal 7 2" xfId="205"/>
    <cellStyle name="Normal 7 3" xfId="206"/>
    <cellStyle name="Normal 7 3 2" xfId="207"/>
    <cellStyle name="Normal 7 4" xfId="208"/>
    <cellStyle name="Normal 8" xfId="209"/>
    <cellStyle name="Normal 8 2" xfId="210"/>
    <cellStyle name="Normal 8 3" xfId="211"/>
    <cellStyle name="Normal 9" xfId="212"/>
    <cellStyle name="Normal 9 2" xfId="213"/>
    <cellStyle name="Normal 9 2 2" xfId="214"/>
    <cellStyle name="Normal 9 3" xfId="215"/>
    <cellStyle name="Note 2" xfId="216"/>
    <cellStyle name="Note 2 2" xfId="217"/>
    <cellStyle name="Output 2" xfId="218"/>
    <cellStyle name="Output Amounts" xfId="219"/>
    <cellStyle name="Output Column Headings" xfId="220"/>
    <cellStyle name="Output Line Items" xfId="221"/>
    <cellStyle name="Output Report Heading" xfId="222"/>
    <cellStyle name="Output Report Title" xfId="223"/>
    <cellStyle name="Percent [2]" xfId="224"/>
    <cellStyle name="Percent [2] 2" xfId="225"/>
    <cellStyle name="Percent 10" xfId="226"/>
    <cellStyle name="Percent 11" xfId="227"/>
    <cellStyle name="Percent 17" xfId="228"/>
    <cellStyle name="Percent 17 2" xfId="229"/>
    <cellStyle name="Percent 2" xfId="230"/>
    <cellStyle name="Percent 2 2" xfId="231"/>
    <cellStyle name="Percent 3" xfId="232"/>
    <cellStyle name="Percent 3 2" xfId="233"/>
    <cellStyle name="Percent 4" xfId="234"/>
    <cellStyle name="Percent 4 2" xfId="235"/>
    <cellStyle name="Percent 5" xfId="236"/>
    <cellStyle name="Percent 5 2" xfId="237"/>
    <cellStyle name="Percent 6" xfId="238"/>
    <cellStyle name="Percent 6 2" xfId="239"/>
    <cellStyle name="Percent 7" xfId="240"/>
    <cellStyle name="Percent 7 2" xfId="241"/>
    <cellStyle name="Percent 8" xfId="242"/>
    <cellStyle name="Percent 8 2" xfId="243"/>
    <cellStyle name="Percent 9" xfId="244"/>
    <cellStyle name="Title 2" xfId="245"/>
    <cellStyle name="Total 2" xfId="246"/>
    <cellStyle name="Unprot" xfId="247"/>
    <cellStyle name="Unprot$" xfId="248"/>
    <cellStyle name="Unprotect" xfId="249"/>
    <cellStyle name="Warning Text 2" xfId="25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A82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</xdr:colOff>
          <xdr:row>0</xdr:row>
          <xdr:rowOff>30480</xdr:rowOff>
        </xdr:from>
        <xdr:to>
          <xdr:col>9</xdr:col>
          <xdr:colOff>68580</xdr:colOff>
          <xdr:row>3</xdr:row>
          <xdr:rowOff>125730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john@mackayresearchgroup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taylor@mackayresearchgroup.com" TargetMode="External"/><Relationship Id="rId1" Type="http://schemas.openxmlformats.org/officeDocument/2006/relationships/hyperlink" Target="mailto:surveys@mackayresearchgroup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ropbox.com/request/v9lKX7Wl2fQqpyTiqEsw" TargetMode="External"/><Relationship Id="rId10" Type="http://schemas.openxmlformats.org/officeDocument/2006/relationships/image" Target="../media/image1.emf"/><Relationship Id="rId4" Type="http://schemas.openxmlformats.org/officeDocument/2006/relationships/hyperlink" Target="mailto:taylor@mackayresearchgroup.com" TargetMode="External"/><Relationship Id="rId9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8"/>
  <sheetViews>
    <sheetView showGridLines="0" showRowColHeaders="0" tabSelected="1" zoomScaleNormal="100" zoomScaleSheetLayoutView="90" workbookViewId="0">
      <selection activeCell="P17" sqref="P17:T17"/>
    </sheetView>
  </sheetViews>
  <sheetFormatPr defaultColWidth="0" defaultRowHeight="12.3"/>
  <cols>
    <col min="1" max="1" width="4.71875" customWidth="1"/>
    <col min="2" max="15" width="2.71875" customWidth="1"/>
    <col min="16" max="16" width="15.71875" customWidth="1"/>
    <col min="17" max="17" width="2.71875" customWidth="1"/>
    <col min="18" max="18" width="15.71875" customWidth="1"/>
    <col min="19" max="19" width="2.71875" customWidth="1"/>
    <col min="20" max="20" width="18.71875" customWidth="1"/>
    <col min="21" max="21" width="41.5546875" customWidth="1"/>
    <col min="22" max="22" width="18.71875" hidden="1" customWidth="1"/>
    <col min="23" max="23" width="6.71875" hidden="1" customWidth="1"/>
    <col min="24" max="16384" width="9.1640625" hidden="1"/>
  </cols>
  <sheetData>
    <row r="1" spans="1:21" s="90" customFormat="1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1"/>
      <c r="M1" s="260"/>
      <c r="N1" s="260"/>
      <c r="O1" s="260"/>
      <c r="P1" s="260"/>
      <c r="Q1" s="260"/>
      <c r="R1" s="260"/>
      <c r="S1" s="260"/>
      <c r="T1" s="276" t="s">
        <v>4</v>
      </c>
      <c r="U1" s="260"/>
    </row>
    <row r="2" spans="1:21" s="90" customFormat="1" ht="15.3" thickBot="1">
      <c r="A2" s="260"/>
      <c r="B2" s="260"/>
      <c r="C2" s="262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77">
        <v>45744</v>
      </c>
      <c r="U2" s="260"/>
    </row>
    <row r="3" spans="1:21" s="90" customFormat="1" ht="18" customHeight="1">
      <c r="A3" s="260"/>
      <c r="B3" s="260"/>
      <c r="C3" s="262"/>
      <c r="D3" s="260"/>
      <c r="E3" s="260"/>
      <c r="F3" s="260"/>
      <c r="G3" s="260"/>
      <c r="H3" s="260"/>
      <c r="I3" s="260"/>
      <c r="J3" s="260"/>
      <c r="K3" s="263"/>
      <c r="L3" s="263"/>
      <c r="M3" s="263"/>
      <c r="N3" s="263"/>
      <c r="O3" s="263"/>
      <c r="P3" s="267" t="s">
        <v>43</v>
      </c>
      <c r="Q3" s="260"/>
      <c r="R3" s="260"/>
      <c r="S3" s="264"/>
      <c r="T3" s="278"/>
      <c r="U3" s="260"/>
    </row>
    <row r="4" spans="1:21" s="90" customFormat="1" ht="18" customHeight="1">
      <c r="A4" s="260"/>
      <c r="B4" s="262"/>
      <c r="C4" s="262"/>
      <c r="D4" s="260"/>
      <c r="E4" s="260"/>
      <c r="F4" s="260"/>
      <c r="G4" s="260"/>
      <c r="H4" s="260"/>
      <c r="I4" s="260"/>
      <c r="J4" s="260"/>
      <c r="K4" s="287">
        <v>2025</v>
      </c>
      <c r="L4" s="288"/>
      <c r="M4" s="288"/>
      <c r="N4" s="288"/>
      <c r="O4" s="268" t="s">
        <v>547</v>
      </c>
      <c r="P4" s="265"/>
      <c r="Q4" s="260"/>
      <c r="R4" s="266"/>
      <c r="S4" s="260"/>
      <c r="T4" s="260"/>
      <c r="U4" s="260"/>
    </row>
    <row r="5" spans="1:21" s="90" customFormat="1" ht="6" customHeigh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3"/>
      <c r="L5" s="263"/>
      <c r="M5" s="263"/>
      <c r="N5" s="263"/>
      <c r="O5" s="263"/>
      <c r="P5" s="267"/>
      <c r="Q5" s="260"/>
      <c r="R5" s="260"/>
      <c r="S5" s="260"/>
      <c r="T5" s="260"/>
      <c r="U5" s="260"/>
    </row>
    <row r="6" spans="1:21" ht="6" customHeight="1" thickBot="1">
      <c r="P6" s="16"/>
    </row>
    <row r="7" spans="1:21" ht="12.75" customHeight="1"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  <c r="P7" s="94" t="s">
        <v>33</v>
      </c>
      <c r="Q7" s="92"/>
      <c r="R7" s="92"/>
      <c r="S7" s="92"/>
      <c r="T7" s="95"/>
    </row>
    <row r="8" spans="1:21" ht="12.75" customHeight="1">
      <c r="B8" s="96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7"/>
      <c r="P8" s="98" t="s">
        <v>122</v>
      </c>
      <c r="Q8" s="90"/>
      <c r="R8" s="90"/>
      <c r="S8" s="90"/>
      <c r="T8" s="99"/>
    </row>
    <row r="9" spans="1:21" ht="12.75" customHeight="1" thickBot="1"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/>
      <c r="P9" s="103" t="s">
        <v>5</v>
      </c>
      <c r="Q9" s="101"/>
      <c r="R9" s="101"/>
      <c r="S9" s="101"/>
      <c r="T9" s="104"/>
    </row>
    <row r="10" spans="1:21" ht="15" customHeight="1">
      <c r="B10" s="1" t="s">
        <v>6</v>
      </c>
      <c r="C10" s="3"/>
      <c r="N10" s="4"/>
      <c r="O10" s="4"/>
      <c r="P10" s="4"/>
      <c r="Q10" s="4"/>
      <c r="R10" s="4"/>
    </row>
    <row r="11" spans="1:21" s="2" customFormat="1" ht="12.75" customHeight="1">
      <c r="A11" s="5" t="s">
        <v>7</v>
      </c>
      <c r="B11" s="21" t="s">
        <v>53</v>
      </c>
      <c r="C11" s="4"/>
      <c r="M11" s="292" t="s">
        <v>120</v>
      </c>
      <c r="N11" s="292"/>
      <c r="O11" s="292"/>
      <c r="P11" s="292"/>
      <c r="Q11" s="292"/>
      <c r="R11" s="292"/>
    </row>
    <row r="12" spans="1:21" s="2" customFormat="1" ht="12.75" customHeight="1">
      <c r="A12" s="5" t="s">
        <v>8</v>
      </c>
      <c r="B12" s="10" t="s">
        <v>548</v>
      </c>
      <c r="C12" s="4"/>
      <c r="N12" s="4"/>
      <c r="O12" s="4"/>
    </row>
    <row r="13" spans="1:21" s="2" customFormat="1" ht="18" customHeight="1">
      <c r="A13" s="5"/>
      <c r="B13" s="281" t="s">
        <v>549</v>
      </c>
      <c r="C13" s="281"/>
      <c r="D13" s="281"/>
      <c r="E13" s="281"/>
      <c r="F13" s="281"/>
      <c r="G13" s="281"/>
      <c r="H13" s="281"/>
      <c r="I13" s="281"/>
      <c r="J13" s="281"/>
      <c r="K13" s="281"/>
      <c r="N13" s="4"/>
      <c r="O13" s="4"/>
      <c r="P13" s="279"/>
      <c r="Q13" s="279"/>
      <c r="R13" s="279"/>
    </row>
    <row r="14" spans="1:21" s="2" customFormat="1" ht="12.75" customHeight="1">
      <c r="A14" s="280" t="s">
        <v>546</v>
      </c>
      <c r="C14" s="4"/>
      <c r="N14" s="4"/>
      <c r="O14" s="4"/>
      <c r="P14" s="292" t="s">
        <v>52</v>
      </c>
      <c r="Q14" s="292"/>
      <c r="R14" s="292"/>
    </row>
    <row r="15" spans="1:21" s="2" customFormat="1" ht="12.75" customHeight="1">
      <c r="A15" s="5" t="s">
        <v>9</v>
      </c>
      <c r="B15" s="2" t="s">
        <v>545</v>
      </c>
      <c r="C15" s="4"/>
      <c r="N15" s="4"/>
      <c r="O15" s="4"/>
      <c r="P15" s="4"/>
      <c r="Q15" s="4"/>
      <c r="R15" s="4"/>
    </row>
    <row r="16" spans="1:21" s="2" customFormat="1" ht="12.75" customHeight="1">
      <c r="A16" s="5"/>
      <c r="B16" s="2" t="s">
        <v>56</v>
      </c>
      <c r="C16" s="7"/>
      <c r="T16" s="114"/>
    </row>
    <row r="17" spans="1:21" ht="12.75" customHeight="1">
      <c r="A17" s="6"/>
      <c r="H17" s="2" t="s">
        <v>538</v>
      </c>
      <c r="O17" s="19"/>
      <c r="P17" s="284"/>
      <c r="Q17" s="285"/>
      <c r="R17" s="285"/>
      <c r="S17" s="285"/>
      <c r="T17" s="286"/>
    </row>
    <row r="18" spans="1:21" ht="12.75" hidden="1" customHeight="1">
      <c r="A18" s="6"/>
      <c r="H18" t="s">
        <v>58</v>
      </c>
      <c r="O18" s="19"/>
      <c r="P18" s="284"/>
      <c r="Q18" s="285"/>
      <c r="R18" s="285"/>
      <c r="S18" s="285"/>
      <c r="T18" s="286"/>
    </row>
    <row r="19" spans="1:21" ht="12.75" customHeight="1">
      <c r="A19" s="6"/>
      <c r="H19" t="s">
        <v>3</v>
      </c>
      <c r="O19" s="19"/>
      <c r="P19" s="284"/>
      <c r="Q19" s="285"/>
      <c r="R19" s="285"/>
      <c r="S19" s="285"/>
      <c r="T19" s="286"/>
    </row>
    <row r="20" spans="1:21" ht="12.75" customHeight="1">
      <c r="H20" t="s">
        <v>0</v>
      </c>
      <c r="O20" s="19"/>
      <c r="P20" s="284"/>
      <c r="Q20" s="285"/>
      <c r="R20" s="285"/>
      <c r="S20" s="285"/>
      <c r="T20" s="286"/>
    </row>
    <row r="21" spans="1:21" ht="12.75" hidden="1" customHeight="1">
      <c r="O21" s="19"/>
      <c r="P21" s="293"/>
      <c r="Q21" s="285"/>
      <c r="R21" s="285"/>
      <c r="S21" s="285"/>
      <c r="T21" s="286"/>
    </row>
    <row r="22" spans="1:21" ht="12.75" customHeight="1">
      <c r="H22" t="s">
        <v>59</v>
      </c>
      <c r="O22" s="19"/>
      <c r="P22" s="284"/>
      <c r="Q22" s="285"/>
      <c r="R22" s="285"/>
      <c r="S22" s="285"/>
      <c r="T22" s="286"/>
    </row>
    <row r="23" spans="1:21" ht="12.75" customHeight="1">
      <c r="H23" t="s">
        <v>60</v>
      </c>
      <c r="O23" s="19"/>
      <c r="P23" s="284"/>
      <c r="Q23" s="285"/>
      <c r="R23" s="285"/>
      <c r="S23" s="285"/>
      <c r="T23" s="286"/>
    </row>
    <row r="24" spans="1:21" ht="12.75" customHeight="1">
      <c r="H24" t="s">
        <v>61</v>
      </c>
      <c r="O24" s="19"/>
      <c r="P24" s="294"/>
      <c r="Q24" s="295"/>
      <c r="R24" s="295"/>
      <c r="S24" s="295"/>
      <c r="T24" s="296"/>
    </row>
    <row r="25" spans="1:21" ht="12.75" customHeight="1">
      <c r="H25" t="s">
        <v>1</v>
      </c>
      <c r="O25" s="19"/>
      <c r="P25" s="289"/>
      <c r="Q25" s="290"/>
      <c r="R25" s="290"/>
      <c r="S25" s="290"/>
      <c r="T25" s="291"/>
    </row>
    <row r="26" spans="1:21" ht="12.75" customHeight="1">
      <c r="H26" t="s">
        <v>20</v>
      </c>
      <c r="N26" s="20"/>
      <c r="O26" s="19"/>
      <c r="P26" s="284"/>
      <c r="Q26" s="285"/>
      <c r="R26" s="285"/>
      <c r="S26" s="285"/>
      <c r="T26" s="286"/>
    </row>
    <row r="27" spans="1:21" ht="6" customHeight="1">
      <c r="P27" s="25"/>
    </row>
    <row r="28" spans="1:21" ht="15">
      <c r="A28" s="260"/>
      <c r="B28" s="270" t="s">
        <v>280</v>
      </c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0"/>
    </row>
    <row r="29" spans="1:21" ht="12.6">
      <c r="A29" s="11" t="s">
        <v>7</v>
      </c>
      <c r="B29" s="1" t="s">
        <v>124</v>
      </c>
    </row>
    <row r="30" spans="1:21">
      <c r="A30" s="8"/>
      <c r="B30" s="24" t="s">
        <v>29</v>
      </c>
    </row>
    <row r="31" spans="1:21">
      <c r="A31" s="8"/>
      <c r="B31" s="24" t="s">
        <v>30</v>
      </c>
    </row>
    <row r="32" spans="1:21" ht="12.6">
      <c r="A32" s="8"/>
      <c r="B32" s="64" t="s">
        <v>125</v>
      </c>
      <c r="C32" s="62"/>
      <c r="F32" s="34" t="s">
        <v>284</v>
      </c>
      <c r="P32" s="35"/>
      <c r="Q32" s="35"/>
      <c r="R32" s="35"/>
      <c r="S32" s="35"/>
      <c r="T32" s="80"/>
    </row>
    <row r="33" spans="1:20">
      <c r="A33" s="8"/>
      <c r="B33" s="64" t="s">
        <v>250</v>
      </c>
      <c r="C33" s="62"/>
      <c r="M33" s="35"/>
      <c r="N33" s="35"/>
      <c r="O33" s="35"/>
      <c r="P33" s="35"/>
      <c r="Q33" s="35"/>
      <c r="R33" s="35"/>
      <c r="S33" s="35"/>
      <c r="T33" s="80"/>
    </row>
    <row r="34" spans="1:20">
      <c r="A34" s="8"/>
      <c r="B34" s="64" t="s">
        <v>252</v>
      </c>
      <c r="C34" s="62"/>
      <c r="M34" s="40"/>
      <c r="N34" s="40"/>
      <c r="O34" s="40"/>
      <c r="P34" s="39"/>
      <c r="Q34" s="39"/>
      <c r="R34" s="39"/>
      <c r="S34" s="39"/>
      <c r="T34" s="80"/>
    </row>
    <row r="35" spans="1:20">
      <c r="A35" s="8"/>
      <c r="B35" s="64" t="s">
        <v>251</v>
      </c>
      <c r="L35" s="35"/>
      <c r="M35" s="35"/>
      <c r="N35" s="35"/>
      <c r="O35" s="35"/>
      <c r="P35" s="35"/>
      <c r="Q35" s="35"/>
      <c r="T35" s="80"/>
    </row>
    <row r="36" spans="1:20" ht="12.6">
      <c r="A36" s="8"/>
      <c r="B36" s="64" t="s">
        <v>283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34"/>
      <c r="Q36" s="39"/>
      <c r="R36" s="39"/>
      <c r="S36" s="39"/>
      <c r="T36" s="80"/>
    </row>
    <row r="37" spans="1:20" hidden="1">
      <c r="A37" s="8"/>
      <c r="B37" s="2" t="s">
        <v>253</v>
      </c>
      <c r="C37" s="62"/>
      <c r="I37" s="40"/>
      <c r="J37" s="40"/>
      <c r="K37" s="35"/>
      <c r="L37" s="35"/>
      <c r="M37" s="35"/>
      <c r="N37" s="35"/>
      <c r="O37" s="35"/>
      <c r="P37" s="35"/>
      <c r="Q37" s="36"/>
      <c r="R37" s="110"/>
      <c r="S37" s="39"/>
      <c r="T37" s="112"/>
    </row>
    <row r="38" spans="1:20" ht="12.6">
      <c r="A38" s="8"/>
      <c r="B38" s="34" t="s">
        <v>278</v>
      </c>
      <c r="C38" s="62"/>
      <c r="M38" s="40"/>
      <c r="N38" s="40"/>
      <c r="O38" s="40"/>
      <c r="P38" s="40"/>
      <c r="Q38" s="77"/>
      <c r="R38" s="39"/>
      <c r="S38" s="39"/>
      <c r="T38" s="80"/>
    </row>
    <row r="39" spans="1:20">
      <c r="A39" s="8"/>
      <c r="C39" s="1" t="s">
        <v>31</v>
      </c>
      <c r="T39" s="81">
        <f>SUM(T32:T38)</f>
        <v>0</v>
      </c>
    </row>
    <row r="40" spans="1:20" ht="6" customHeight="1"/>
    <row r="41" spans="1:20">
      <c r="A41" s="58" t="s">
        <v>8</v>
      </c>
      <c r="B41" s="59" t="s">
        <v>62</v>
      </c>
      <c r="C41" s="56"/>
      <c r="D41" s="56"/>
      <c r="E41" s="56"/>
      <c r="F41" s="56"/>
      <c r="G41" s="56"/>
      <c r="H41" s="56"/>
      <c r="I41" s="56"/>
      <c r="J41" s="56"/>
      <c r="K41" s="56"/>
      <c r="L41" s="282">
        <f>Yr-2</f>
        <v>2023</v>
      </c>
      <c r="M41" s="282"/>
      <c r="N41" s="56"/>
      <c r="O41" s="56"/>
      <c r="P41" s="60"/>
      <c r="Q41" s="56"/>
      <c r="R41" s="56"/>
      <c r="S41" s="61" t="s">
        <v>2</v>
      </c>
      <c r="T41" s="79"/>
    </row>
    <row r="42" spans="1:20" ht="6" customHeight="1"/>
    <row r="43" spans="1:20" ht="12.6">
      <c r="A43" s="11" t="s">
        <v>9</v>
      </c>
      <c r="B43" s="1" t="s">
        <v>42</v>
      </c>
      <c r="J43" s="34"/>
      <c r="L43" s="46" t="s">
        <v>118</v>
      </c>
      <c r="M43" s="283">
        <f>Yr-1</f>
        <v>2024</v>
      </c>
      <c r="N43" s="283"/>
      <c r="O43" s="34" t="s">
        <v>119</v>
      </c>
      <c r="S43" s="6"/>
    </row>
    <row r="44" spans="1:20" ht="12.6">
      <c r="A44" s="8"/>
      <c r="B44" s="1" t="s">
        <v>22</v>
      </c>
      <c r="E44" s="12"/>
      <c r="F44" s="34" t="s">
        <v>44</v>
      </c>
      <c r="H44" s="12"/>
      <c r="I44" s="12"/>
      <c r="J44" s="12"/>
      <c r="K44" s="12"/>
      <c r="L44" s="12"/>
      <c r="M44" s="12"/>
      <c r="R44" s="35"/>
      <c r="S44" s="41" t="s">
        <v>2</v>
      </c>
      <c r="T44" s="84"/>
    </row>
    <row r="45" spans="1:20" ht="12.6">
      <c r="A45" s="8"/>
      <c r="C45" s="2" t="s">
        <v>32</v>
      </c>
      <c r="J45" s="34" t="s">
        <v>239</v>
      </c>
      <c r="O45" s="12"/>
      <c r="P45" s="12"/>
      <c r="Q45" s="12"/>
      <c r="S45" s="23" t="s">
        <v>2</v>
      </c>
      <c r="T45" s="87"/>
    </row>
    <row r="46" spans="1:20" ht="12.6">
      <c r="A46" s="8"/>
      <c r="B46" s="1" t="s">
        <v>131</v>
      </c>
      <c r="G46" s="34" t="s">
        <v>45</v>
      </c>
      <c r="O46" s="12"/>
      <c r="P46" s="12"/>
      <c r="Q46" s="12"/>
      <c r="S46" s="23" t="s">
        <v>2</v>
      </c>
      <c r="T46" s="18">
        <f>T44-T45</f>
        <v>0</v>
      </c>
    </row>
    <row r="47" spans="1:20">
      <c r="A47" s="8"/>
      <c r="B47" s="49" t="s">
        <v>128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48"/>
      <c r="T47" s="50"/>
    </row>
    <row r="48" spans="1:20">
      <c r="A48" s="8"/>
      <c r="B48" s="1" t="s">
        <v>129</v>
      </c>
      <c r="H48" s="2"/>
      <c r="S48" s="6"/>
    </row>
    <row r="49" spans="1:20" ht="12.6">
      <c r="A49" s="8"/>
      <c r="B49" s="65" t="s">
        <v>233</v>
      </c>
      <c r="D49" s="2"/>
      <c r="E49" s="2"/>
      <c r="F49" s="2"/>
      <c r="H49" s="2"/>
      <c r="I49" s="22"/>
      <c r="J49" s="2"/>
      <c r="K49" s="2"/>
      <c r="L49" s="2"/>
      <c r="M49" s="2"/>
      <c r="N49" s="2"/>
      <c r="O49" s="2"/>
      <c r="P49" s="34"/>
      <c r="Q49" s="2"/>
      <c r="S49" s="66"/>
      <c r="T49" s="87">
        <f>SAL_TOT</f>
        <v>0</v>
      </c>
    </row>
    <row r="50" spans="1:20" ht="12.6">
      <c r="A50" s="8"/>
      <c r="B50" s="65" t="s">
        <v>285</v>
      </c>
      <c r="C50" s="22"/>
      <c r="D50" s="2"/>
      <c r="E50" s="2"/>
      <c r="F50" s="2"/>
      <c r="H50" s="71" t="s">
        <v>286</v>
      </c>
      <c r="I50" s="2"/>
      <c r="J50" s="2"/>
      <c r="K50" s="2"/>
      <c r="L50" s="2"/>
      <c r="M50" s="2"/>
      <c r="N50" s="2"/>
      <c r="O50" s="2"/>
      <c r="P50" s="2"/>
      <c r="Q50" s="2"/>
      <c r="R50" s="35"/>
      <c r="S50" s="43"/>
      <c r="T50" s="87"/>
    </row>
    <row r="51" spans="1:20" ht="12.6">
      <c r="A51" s="8"/>
      <c r="B51" s="65" t="s">
        <v>287</v>
      </c>
      <c r="C51" s="22"/>
      <c r="D51" s="2"/>
      <c r="E51" s="2"/>
      <c r="F51" s="2"/>
      <c r="G51" s="2"/>
      <c r="H51" s="71" t="s">
        <v>288</v>
      </c>
      <c r="I51" s="2"/>
      <c r="J51" s="2"/>
      <c r="K51" s="2"/>
      <c r="L51" s="2"/>
      <c r="M51" s="2"/>
      <c r="N51" s="2"/>
      <c r="O51" s="2"/>
      <c r="P51" s="2"/>
      <c r="Q51" s="68"/>
      <c r="R51" s="39"/>
      <c r="S51" s="47"/>
      <c r="T51" s="87"/>
    </row>
    <row r="52" spans="1:20" ht="12.6">
      <c r="A52" s="8"/>
      <c r="B52" s="2" t="s">
        <v>121</v>
      </c>
      <c r="C52" s="22"/>
      <c r="D52" s="2"/>
      <c r="E52" s="2"/>
      <c r="F52" s="2"/>
      <c r="G52" s="2"/>
      <c r="H52" s="34" t="s">
        <v>289</v>
      </c>
      <c r="I52" s="2"/>
      <c r="J52" s="2"/>
      <c r="K52" s="2"/>
      <c r="L52" s="2"/>
      <c r="M52" s="2"/>
      <c r="N52" s="2"/>
      <c r="O52" s="2"/>
      <c r="P52" s="2"/>
      <c r="Q52" s="2"/>
      <c r="S52" s="66"/>
      <c r="T52" s="87"/>
    </row>
    <row r="53" spans="1:20">
      <c r="A53" s="8"/>
      <c r="C53" s="1" t="s">
        <v>130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S53" s="23" t="s">
        <v>2</v>
      </c>
      <c r="T53" s="18">
        <f>SAL+PT+GRP_INS+BENE</f>
        <v>0</v>
      </c>
    </row>
    <row r="54" spans="1:20" hidden="1">
      <c r="A54" s="8"/>
      <c r="B54" s="63" t="s">
        <v>133</v>
      </c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S54" s="23"/>
      <c r="T54" s="18"/>
    </row>
    <row r="55" spans="1:20" hidden="1">
      <c r="A55" s="8"/>
      <c r="B55" s="65" t="s">
        <v>135</v>
      </c>
      <c r="C55" s="1"/>
      <c r="D55" s="2"/>
      <c r="E55" s="2"/>
      <c r="F55" s="2"/>
      <c r="G55" s="2"/>
      <c r="H55" s="2"/>
      <c r="I55" s="2"/>
      <c r="J55" s="2"/>
      <c r="K55" s="2"/>
      <c r="L55" s="68"/>
      <c r="M55" s="68"/>
      <c r="N55" s="68"/>
      <c r="O55" s="68"/>
      <c r="P55" s="68"/>
      <c r="Q55" s="68"/>
      <c r="R55" s="35"/>
      <c r="S55" s="41"/>
      <c r="T55" s="106"/>
    </row>
    <row r="56" spans="1:20" hidden="1">
      <c r="A56" s="8"/>
      <c r="B56" s="62" t="s">
        <v>134</v>
      </c>
      <c r="C56" s="1"/>
      <c r="D56" s="2"/>
      <c r="E56" s="2"/>
      <c r="F56" s="2"/>
      <c r="G56" s="2"/>
      <c r="H56" s="2"/>
      <c r="I56" s="2"/>
      <c r="J56" s="2"/>
      <c r="K56" s="2"/>
      <c r="L56" s="69"/>
      <c r="M56" s="69"/>
      <c r="N56" s="69"/>
      <c r="O56" s="69"/>
      <c r="P56" s="69"/>
      <c r="Q56" s="69"/>
      <c r="R56" s="39"/>
      <c r="S56" s="42"/>
      <c r="T56" s="106"/>
    </row>
    <row r="57" spans="1:20" ht="12.6" hidden="1">
      <c r="A57" s="8"/>
      <c r="B57" s="65" t="s">
        <v>136</v>
      </c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S57" s="23"/>
      <c r="T57" s="106"/>
    </row>
    <row r="58" spans="1:20" ht="12.6">
      <c r="A58" s="8"/>
      <c r="B58" s="65" t="s">
        <v>133</v>
      </c>
      <c r="C58" s="65"/>
      <c r="D58" s="2"/>
      <c r="E58" s="2"/>
      <c r="F58" s="2"/>
      <c r="G58" s="2"/>
      <c r="H58" s="2"/>
      <c r="I58" s="34" t="s">
        <v>262</v>
      </c>
      <c r="J58" s="2"/>
      <c r="K58" s="2"/>
      <c r="L58" s="2"/>
      <c r="M58" s="2"/>
      <c r="N58" s="2"/>
      <c r="O58" s="2"/>
      <c r="P58" s="2"/>
      <c r="Q58" s="2"/>
      <c r="S58" s="23"/>
      <c r="T58" s="87"/>
    </row>
    <row r="59" spans="1:20" hidden="1">
      <c r="A59" s="8"/>
      <c r="B59" s="1" t="s">
        <v>137</v>
      </c>
      <c r="S59" s="6"/>
    </row>
    <row r="60" spans="1:20" hidden="1">
      <c r="A60" s="8"/>
      <c r="B60" s="2" t="s">
        <v>139</v>
      </c>
      <c r="S60" s="45" t="s">
        <v>2</v>
      </c>
      <c r="T60" s="106"/>
    </row>
    <row r="61" spans="1:20" ht="12.6" hidden="1">
      <c r="A61" s="8"/>
      <c r="B61" s="2" t="s">
        <v>140</v>
      </c>
      <c r="J61" s="34"/>
      <c r="O61" s="12"/>
      <c r="Q61" s="35"/>
      <c r="R61" s="35"/>
      <c r="S61" s="44"/>
      <c r="T61" s="106"/>
    </row>
    <row r="62" spans="1:20" ht="12.6" hidden="1">
      <c r="A62" s="8"/>
      <c r="B62" s="2" t="s">
        <v>141</v>
      </c>
      <c r="J62" s="34"/>
      <c r="O62" s="12"/>
      <c r="P62" s="35"/>
      <c r="Q62" s="35"/>
      <c r="R62" s="35"/>
      <c r="S62" s="57"/>
      <c r="T62" s="106"/>
    </row>
    <row r="63" spans="1:20" ht="12.6" hidden="1">
      <c r="A63" s="8"/>
      <c r="B63" s="2" t="s">
        <v>138</v>
      </c>
      <c r="E63" s="35"/>
      <c r="F63" s="35"/>
      <c r="G63" s="35"/>
      <c r="H63" s="35"/>
      <c r="I63" s="35"/>
      <c r="J63" s="67"/>
      <c r="K63" s="35"/>
      <c r="L63" s="35"/>
      <c r="M63" s="35"/>
      <c r="N63" s="35"/>
      <c r="O63" s="37"/>
      <c r="P63" s="35"/>
      <c r="Q63" s="35"/>
      <c r="R63" s="35"/>
      <c r="S63" s="57"/>
      <c r="T63" s="106"/>
    </row>
    <row r="64" spans="1:20" hidden="1">
      <c r="A64" s="8"/>
      <c r="B64" s="2" t="s">
        <v>142</v>
      </c>
      <c r="R64" s="39"/>
      <c r="S64" s="44"/>
      <c r="T64" s="106"/>
    </row>
    <row r="65" spans="1:20" hidden="1">
      <c r="A65" s="8"/>
      <c r="B65" s="2" t="s">
        <v>143</v>
      </c>
      <c r="P65" s="35"/>
      <c r="Q65" s="35"/>
      <c r="R65" s="35"/>
      <c r="S65" s="45"/>
      <c r="T65" s="106"/>
    </row>
    <row r="66" spans="1:20" hidden="1">
      <c r="A66" s="8"/>
      <c r="B66" s="2" t="s">
        <v>46</v>
      </c>
      <c r="K66" s="35"/>
      <c r="L66" s="35"/>
      <c r="M66" s="35"/>
      <c r="N66" s="35"/>
      <c r="O66" s="35"/>
      <c r="P66" s="39"/>
      <c r="Q66" s="39"/>
      <c r="R66" s="39"/>
      <c r="S66" s="44"/>
      <c r="T66" s="106"/>
    </row>
    <row r="67" spans="1:20">
      <c r="A67" s="8"/>
      <c r="B67" s="2" t="s">
        <v>137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S67" s="66"/>
      <c r="T67" s="87"/>
    </row>
    <row r="68" spans="1:20" ht="12.6">
      <c r="A68" s="8"/>
      <c r="C68" s="1" t="s">
        <v>132</v>
      </c>
      <c r="L68" s="34" t="s">
        <v>155</v>
      </c>
      <c r="P68" s="34"/>
      <c r="Q68" s="12"/>
      <c r="S68" s="23" t="s">
        <v>2</v>
      </c>
      <c r="T68" s="18">
        <f>PA+OC+TOE</f>
        <v>0</v>
      </c>
    </row>
    <row r="69" spans="1:20" ht="12.6">
      <c r="A69" s="8"/>
      <c r="B69" s="49" t="s">
        <v>28</v>
      </c>
      <c r="C69" s="15"/>
      <c r="D69" s="15"/>
      <c r="E69" s="15"/>
      <c r="F69" s="15"/>
      <c r="G69" s="15"/>
      <c r="H69" s="53" t="s">
        <v>154</v>
      </c>
      <c r="I69" s="15"/>
      <c r="J69" s="15"/>
      <c r="K69" s="15"/>
      <c r="L69" s="15"/>
      <c r="M69" s="15"/>
      <c r="N69" s="15"/>
      <c r="O69" s="17"/>
      <c r="P69" s="17"/>
      <c r="Q69" s="17"/>
      <c r="R69" s="15"/>
      <c r="S69" s="51" t="s">
        <v>2</v>
      </c>
      <c r="T69" s="52">
        <f>GP-TE</f>
        <v>0</v>
      </c>
    </row>
    <row r="70" spans="1:20" ht="12.6">
      <c r="A70" s="8"/>
      <c r="B70" t="s">
        <v>23</v>
      </c>
      <c r="H70" s="34" t="s">
        <v>50</v>
      </c>
      <c r="O70" s="12"/>
      <c r="P70" s="37"/>
      <c r="Q70" s="37"/>
      <c r="R70" s="35"/>
      <c r="S70" s="41"/>
      <c r="T70" s="78"/>
    </row>
    <row r="71" spans="1:20" ht="12.6">
      <c r="A71" s="8"/>
      <c r="B71" t="s">
        <v>24</v>
      </c>
      <c r="H71" s="34" t="s">
        <v>51</v>
      </c>
      <c r="O71" s="12"/>
      <c r="P71" s="38"/>
      <c r="Q71" s="38"/>
      <c r="R71" s="39"/>
      <c r="S71" s="42"/>
      <c r="T71" s="78"/>
    </row>
    <row r="72" spans="1:20" ht="12.6">
      <c r="A72" s="8"/>
      <c r="B72" t="s">
        <v>25</v>
      </c>
      <c r="L72" s="34" t="s">
        <v>279</v>
      </c>
      <c r="P72" s="39"/>
      <c r="Q72" s="39"/>
      <c r="R72" s="39"/>
      <c r="S72" s="44"/>
      <c r="T72" s="78"/>
    </row>
    <row r="73" spans="1:20">
      <c r="A73" s="8"/>
      <c r="B73" s="1" t="s">
        <v>47</v>
      </c>
      <c r="I73" s="113" t="s">
        <v>49</v>
      </c>
      <c r="S73" s="23" t="s">
        <v>2</v>
      </c>
      <c r="T73" s="18">
        <f>OP+OI-Int-Oex</f>
        <v>0</v>
      </c>
    </row>
    <row r="74" spans="1:20" ht="12.6" hidden="1">
      <c r="A74" s="8"/>
      <c r="B74" t="s">
        <v>27</v>
      </c>
      <c r="G74" s="34" t="s">
        <v>26</v>
      </c>
      <c r="O74" s="12"/>
      <c r="P74" s="12"/>
      <c r="Q74" s="12"/>
      <c r="S74" s="6"/>
      <c r="T74" s="106"/>
    </row>
    <row r="75" spans="1:20" hidden="1">
      <c r="A75" s="8"/>
      <c r="B75" s="49" t="s">
        <v>48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51" t="s">
        <v>2</v>
      </c>
      <c r="T75" s="52">
        <f>PBT-Tax</f>
        <v>0</v>
      </c>
    </row>
    <row r="76" spans="1:20" ht="6" customHeight="1">
      <c r="A76" s="8"/>
      <c r="B76" s="1"/>
      <c r="S76" s="23"/>
      <c r="T76" s="18"/>
    </row>
    <row r="77" spans="1:20" ht="12.6">
      <c r="A77" s="11" t="s">
        <v>10</v>
      </c>
      <c r="B77" s="63" t="s">
        <v>144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S77" s="34"/>
    </row>
    <row r="78" spans="1:20">
      <c r="A78" s="8"/>
      <c r="B78" s="2"/>
      <c r="N78" s="54"/>
      <c r="O78" s="33"/>
      <c r="R78" s="54" t="s">
        <v>145</v>
      </c>
      <c r="S78" s="33"/>
      <c r="T78" s="54" t="s">
        <v>32</v>
      </c>
    </row>
    <row r="79" spans="1:20" hidden="1">
      <c r="A79" s="8"/>
      <c r="B79" s="62" t="s">
        <v>146</v>
      </c>
      <c r="I79" s="35"/>
      <c r="J79" s="35"/>
      <c r="K79" s="35"/>
      <c r="L79" s="35"/>
      <c r="M79" s="35"/>
      <c r="N79" s="55"/>
      <c r="O79" s="43" t="s">
        <v>2</v>
      </c>
      <c r="R79" s="107"/>
      <c r="S79" s="43" t="s">
        <v>2</v>
      </c>
      <c r="T79" s="107"/>
    </row>
    <row r="80" spans="1:20" hidden="1">
      <c r="A80" s="11"/>
      <c r="B80" s="62" t="s">
        <v>147</v>
      </c>
      <c r="I80" s="39"/>
      <c r="J80" s="40"/>
      <c r="K80" s="40"/>
      <c r="L80" s="40"/>
      <c r="M80" s="40"/>
      <c r="N80" s="70"/>
      <c r="O80" s="77"/>
      <c r="R80" s="106"/>
      <c r="T80" s="106"/>
    </row>
    <row r="81" spans="1:21" hidden="1">
      <c r="A81" s="8"/>
      <c r="B81" s="62" t="s">
        <v>148</v>
      </c>
      <c r="N81" s="14"/>
      <c r="O81" s="19"/>
      <c r="R81" s="106"/>
      <c r="T81" s="106"/>
    </row>
    <row r="82" spans="1:21" ht="12.6">
      <c r="A82" s="8"/>
      <c r="B82" s="2" t="s">
        <v>281</v>
      </c>
      <c r="N82" s="14"/>
      <c r="R82" s="78"/>
      <c r="T82" s="78"/>
      <c r="U82" s="34" t="s">
        <v>232</v>
      </c>
    </row>
    <row r="83" spans="1:21" hidden="1">
      <c r="A83" s="8"/>
      <c r="B83" s="62" t="s">
        <v>230</v>
      </c>
      <c r="D83" s="37"/>
      <c r="E83" s="37"/>
      <c r="F83" s="37"/>
      <c r="G83" s="37"/>
      <c r="H83" s="37"/>
      <c r="I83" s="37"/>
      <c r="J83" s="37"/>
      <c r="K83" s="12"/>
      <c r="L83" s="12"/>
      <c r="M83" s="12"/>
      <c r="N83" s="14"/>
      <c r="O83" s="19"/>
      <c r="R83" s="106"/>
      <c r="T83" s="106"/>
    </row>
    <row r="84" spans="1:21" ht="12.6">
      <c r="A84" s="8"/>
      <c r="B84" s="65" t="s">
        <v>264</v>
      </c>
      <c r="K84" s="109"/>
      <c r="L84" s="109"/>
      <c r="M84" s="109"/>
      <c r="N84" s="109"/>
      <c r="O84" s="109"/>
      <c r="P84" s="109"/>
      <c r="Q84" s="109"/>
      <c r="R84" s="78"/>
      <c r="S84" s="72"/>
      <c r="T84" s="78"/>
      <c r="U84" s="34" t="s">
        <v>268</v>
      </c>
    </row>
    <row r="85" spans="1:21" ht="12.6" hidden="1">
      <c r="A85" s="8"/>
      <c r="B85" s="62" t="s">
        <v>231</v>
      </c>
      <c r="M85" s="110"/>
      <c r="N85" s="110"/>
      <c r="O85" s="110"/>
      <c r="P85" s="110"/>
      <c r="Q85" s="110"/>
      <c r="R85" s="108"/>
      <c r="T85" s="108"/>
      <c r="U85" s="71" t="s">
        <v>152</v>
      </c>
    </row>
    <row r="86" spans="1:21" ht="12.6">
      <c r="A86" s="8"/>
      <c r="B86" s="2" t="s">
        <v>263</v>
      </c>
      <c r="M86" s="110"/>
      <c r="N86" s="111"/>
      <c r="O86" s="110"/>
      <c r="P86" s="110"/>
      <c r="Q86" s="110"/>
      <c r="R86" s="89"/>
      <c r="T86" s="89"/>
      <c r="U86" s="34" t="s">
        <v>269</v>
      </c>
    </row>
    <row r="87" spans="1:21">
      <c r="A87" s="13"/>
      <c r="B87" s="62" t="s">
        <v>149</v>
      </c>
      <c r="F87" s="30"/>
      <c r="G87" s="35"/>
      <c r="H87" s="35"/>
      <c r="I87" s="35"/>
      <c r="J87" s="35"/>
      <c r="K87" s="35"/>
      <c r="L87" s="35"/>
      <c r="M87" s="110"/>
      <c r="N87" s="111"/>
      <c r="O87" s="110"/>
      <c r="P87" s="110"/>
      <c r="Q87" s="110"/>
      <c r="R87" s="73">
        <f>NS-SUM(R81:R86)</f>
        <v>0</v>
      </c>
      <c r="T87" s="73">
        <f>COGS-SUM(T81:T86)</f>
        <v>0</v>
      </c>
    </row>
    <row r="88" spans="1:21" ht="12.6">
      <c r="A88" s="13"/>
      <c r="C88" s="63" t="s">
        <v>153</v>
      </c>
      <c r="F88" s="30"/>
      <c r="N88" s="14"/>
      <c r="R88" s="14">
        <f>NS</f>
        <v>0</v>
      </c>
      <c r="T88" s="14">
        <f>COGS</f>
        <v>0</v>
      </c>
    </row>
  </sheetData>
  <sheetProtection password="CF42" sheet="1" objects="1" scenarios="1"/>
  <mergeCells count="16">
    <mergeCell ref="B13:K13"/>
    <mergeCell ref="L41:M41"/>
    <mergeCell ref="M43:N43"/>
    <mergeCell ref="P26:T26"/>
    <mergeCell ref="K4:N4"/>
    <mergeCell ref="P22:T22"/>
    <mergeCell ref="P25:T25"/>
    <mergeCell ref="P18:T18"/>
    <mergeCell ref="M11:R11"/>
    <mergeCell ref="P14:R14"/>
    <mergeCell ref="P17:T17"/>
    <mergeCell ref="P19:T19"/>
    <mergeCell ref="P20:T20"/>
    <mergeCell ref="P21:T21"/>
    <mergeCell ref="P23:T23"/>
    <mergeCell ref="P24:T24"/>
  </mergeCells>
  <phoneticPr fontId="0" type="noConversion"/>
  <hyperlinks>
    <hyperlink ref="P14" r:id="rId1"/>
    <hyperlink ref="B11" r:id="rId2"/>
    <hyperlink ref="M11" r:id="rId3" display="john@mackayresearchgroup.com"/>
    <hyperlink ref="M11:R11" r:id="rId4" display="taylor@mackayresearchgroup.com"/>
    <hyperlink ref="B13" r:id="rId5"/>
  </hyperlinks>
  <pageMargins left="0.5" right="0.5" top="0.5" bottom="0.5" header="0.5" footer="0.5"/>
  <pageSetup scale="93" orientation="portrait" r:id="rId6"/>
  <headerFooter alignWithMargins="0"/>
  <drawing r:id="rId7"/>
  <legacyDrawing r:id="rId8"/>
  <oleObjects>
    <mc:AlternateContent xmlns:mc="http://schemas.openxmlformats.org/markup-compatibility/2006">
      <mc:Choice Requires="x14">
        <oleObject progId="Word.Document.8" shapeId="1116" r:id="rId9">
          <objectPr defaultSize="0" autoPict="0" r:id="rId10">
            <anchor moveWithCells="1" sizeWithCells="1">
              <from>
                <xdr:col>0</xdr:col>
                <xdr:colOff>30480</xdr:colOff>
                <xdr:row>0</xdr:row>
                <xdr:rowOff>30480</xdr:rowOff>
              </from>
              <to>
                <xdr:col>9</xdr:col>
                <xdr:colOff>68580</xdr:colOff>
                <xdr:row>3</xdr:row>
                <xdr:rowOff>125730</xdr:rowOff>
              </to>
            </anchor>
          </objectPr>
        </oleObject>
      </mc:Choice>
      <mc:Fallback>
        <oleObject progId="Word.Document.8" shapeId="1116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showRowColHeaders="0" zoomScale="90" zoomScaleNormal="85" zoomScaleSheetLayoutView="85" workbookViewId="0"/>
  </sheetViews>
  <sheetFormatPr defaultColWidth="0" defaultRowHeight="12.3"/>
  <cols>
    <col min="1" max="1" width="3.71875" customWidth="1"/>
    <col min="2" max="6" width="10.71875" customWidth="1"/>
    <col min="7" max="7" width="2.71875" customWidth="1"/>
    <col min="8" max="8" width="12.71875" customWidth="1"/>
    <col min="9" max="9" width="2.71875" customWidth="1"/>
    <col min="10" max="10" width="12.71875" customWidth="1"/>
    <col min="11" max="11" width="2.71875" customWidth="1"/>
  </cols>
  <sheetData>
    <row r="1" spans="1:11" ht="18" customHeight="1">
      <c r="A1" s="15"/>
      <c r="B1" s="15"/>
      <c r="C1" s="15"/>
      <c r="D1" s="15"/>
      <c r="E1" s="32" t="s">
        <v>12</v>
      </c>
      <c r="F1" s="15"/>
      <c r="G1" s="15"/>
      <c r="H1" s="15"/>
      <c r="I1" s="15"/>
      <c r="J1" s="15"/>
      <c r="K1" s="15"/>
    </row>
    <row r="2" spans="1:11" ht="18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2.75" customHeight="1">
      <c r="B3" s="2" t="s">
        <v>21</v>
      </c>
    </row>
    <row r="4" spans="1:11" ht="12.75" customHeight="1">
      <c r="B4" t="s">
        <v>35</v>
      </c>
    </row>
    <row r="5" spans="1:11">
      <c r="B5" t="s">
        <v>34</v>
      </c>
    </row>
    <row r="6" spans="1:11">
      <c r="B6" t="s">
        <v>13</v>
      </c>
    </row>
    <row r="8" spans="1:11">
      <c r="B8" s="1" t="s">
        <v>11</v>
      </c>
    </row>
    <row r="10" spans="1:11">
      <c r="A10" s="31" t="s">
        <v>7</v>
      </c>
      <c r="B10" s="2" t="s">
        <v>36</v>
      </c>
    </row>
    <row r="11" spans="1:11">
      <c r="A11" s="31"/>
      <c r="B11" s="2" t="s">
        <v>123</v>
      </c>
    </row>
    <row r="12" spans="1:11">
      <c r="A12" s="31"/>
      <c r="B12" s="2" t="s">
        <v>37</v>
      </c>
    </row>
    <row r="13" spans="1:11">
      <c r="A13" s="31"/>
      <c r="B13" s="2" t="s">
        <v>38</v>
      </c>
    </row>
    <row r="14" spans="1:11">
      <c r="A14" s="31"/>
    </row>
    <row r="15" spans="1:11">
      <c r="A15" s="31" t="s">
        <v>8</v>
      </c>
      <c r="B15" s="2" t="s">
        <v>16</v>
      </c>
    </row>
    <row r="16" spans="1:11">
      <c r="A16" s="31"/>
      <c r="B16" s="2" t="s">
        <v>55</v>
      </c>
    </row>
    <row r="17" spans="1:2">
      <c r="A17" s="31"/>
      <c r="B17" s="2" t="s">
        <v>54</v>
      </c>
    </row>
    <row r="18" spans="1:2">
      <c r="A18" s="31"/>
    </row>
    <row r="19" spans="1:2">
      <c r="A19" s="31" t="s">
        <v>9</v>
      </c>
      <c r="B19" s="2" t="s">
        <v>14</v>
      </c>
    </row>
    <row r="20" spans="1:2">
      <c r="A20" s="31"/>
      <c r="B20" s="2" t="s">
        <v>15</v>
      </c>
    </row>
    <row r="22" spans="1:2">
      <c r="B22" s="2" t="s">
        <v>39</v>
      </c>
    </row>
    <row r="23" spans="1:2">
      <c r="B23" s="2" t="s">
        <v>17</v>
      </c>
    </row>
    <row r="24" spans="1:2">
      <c r="B24" s="2" t="s">
        <v>18</v>
      </c>
    </row>
    <row r="25" spans="1:2">
      <c r="B25" s="2" t="s">
        <v>40</v>
      </c>
    </row>
    <row r="26" spans="1:2">
      <c r="B26" s="2" t="s">
        <v>41</v>
      </c>
    </row>
  </sheetData>
  <sheetProtection password="CF42" sheet="1" objects="1" scenarios="1" selectLockedCell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5"/>
  <sheetViews>
    <sheetView zoomScaleNormal="100" zoomScaleSheetLayoutView="75" workbookViewId="0">
      <selection activeCell="B1" sqref="B1"/>
    </sheetView>
  </sheetViews>
  <sheetFormatPr defaultRowHeight="15"/>
  <cols>
    <col min="1" max="1" width="13.5546875" customWidth="1"/>
    <col min="2" max="2" width="12.71875" customWidth="1"/>
    <col min="3" max="3" width="6" customWidth="1"/>
    <col min="4" max="4" width="5.44140625" style="29" customWidth="1"/>
    <col min="5" max="8" width="9.1640625" style="29" customWidth="1"/>
    <col min="12" max="12" width="5.71875" bestFit="1" customWidth="1"/>
    <col min="13" max="13" width="8.1640625" bestFit="1" customWidth="1"/>
    <col min="14" max="14" width="13.44140625" bestFit="1" customWidth="1"/>
  </cols>
  <sheetData>
    <row r="1" spans="1:14" ht="12.75" customHeight="1">
      <c r="A1" s="232" t="s">
        <v>63</v>
      </c>
      <c r="B1" s="115">
        <f>Yr</f>
        <v>2025</v>
      </c>
      <c r="C1" s="273" t="s">
        <v>117</v>
      </c>
      <c r="D1" s="273" t="s">
        <v>539</v>
      </c>
      <c r="E1" s="272" t="s">
        <v>3</v>
      </c>
      <c r="F1" s="272" t="s">
        <v>540</v>
      </c>
      <c r="G1" s="272" t="s">
        <v>541</v>
      </c>
      <c r="H1" s="272" t="s">
        <v>542</v>
      </c>
      <c r="I1" s="272" t="s">
        <v>543</v>
      </c>
      <c r="J1" s="272" t="s">
        <v>544</v>
      </c>
      <c r="K1" s="272" t="s">
        <v>59</v>
      </c>
      <c r="L1" s="272" t="s">
        <v>60</v>
      </c>
      <c r="M1" s="274" t="s">
        <v>66</v>
      </c>
      <c r="N1" s="275" t="s">
        <v>67</v>
      </c>
    </row>
    <row r="2" spans="1:14" ht="12.75" customHeight="1">
      <c r="A2" s="209" t="s">
        <v>234</v>
      </c>
      <c r="B2" s="116" t="s">
        <v>282</v>
      </c>
      <c r="C2" s="2" t="str">
        <f>IF(ISBLANK(ID),"b",ID)</f>
        <v>b</v>
      </c>
      <c r="D2" s="4" t="s">
        <v>282</v>
      </c>
      <c r="E2" s="2" t="str">
        <f>IF(ISBLANK(Name),"b",Name)</f>
        <v>b</v>
      </c>
      <c r="F2" s="2" t="str">
        <f>IF(ISBLANK(Person),"b",Person)</f>
        <v>b</v>
      </c>
      <c r="G2" s="2" t="str">
        <f>IF(ISBLANK(eaddr),"b",eaddr)</f>
        <v>b</v>
      </c>
      <c r="J2" s="2" t="str">
        <f>IF(ISBLANK(Addr1),"b",Addr1)</f>
        <v>b</v>
      </c>
      <c r="K2" s="2" t="str">
        <f>IF(ISBLANK(City),"b",City)</f>
        <v>b</v>
      </c>
      <c r="L2" s="2" t="str">
        <f>IF(ISBLANK(State),"b",State)</f>
        <v>b</v>
      </c>
      <c r="M2" s="117" t="str">
        <f>IF(ISBLANK(Zipcode),"b",Zipcode)</f>
        <v>b</v>
      </c>
      <c r="N2" s="271" t="str">
        <f>IF(ISBLANK(Phone),"b",Phone)</f>
        <v>b</v>
      </c>
    </row>
    <row r="3" spans="1:14" ht="16.2">
      <c r="A3" s="233" t="s">
        <v>117</v>
      </c>
      <c r="B3" s="2" t="str">
        <f>IF(ISBLANK(ID),"b",ID)</f>
        <v>b</v>
      </c>
      <c r="C3" s="74"/>
      <c r="D3" s="1"/>
    </row>
    <row r="4" spans="1:14" ht="12.75" customHeight="1">
      <c r="A4" s="211" t="s">
        <v>57</v>
      </c>
      <c r="B4" s="137" t="s">
        <v>244</v>
      </c>
      <c r="C4" s="1" t="s">
        <v>535</v>
      </c>
    </row>
    <row r="5" spans="1:14" ht="12.75" customHeight="1">
      <c r="A5" s="211" t="s">
        <v>58</v>
      </c>
      <c r="B5" s="137" t="s">
        <v>244</v>
      </c>
      <c r="C5" s="2"/>
    </row>
    <row r="6" spans="1:14" ht="12.75" customHeight="1">
      <c r="A6" s="211" t="s">
        <v>3</v>
      </c>
      <c r="B6" s="137" t="s">
        <v>244</v>
      </c>
      <c r="C6" s="2"/>
    </row>
    <row r="7" spans="1:14" ht="12.75" customHeight="1">
      <c r="A7" s="211" t="s">
        <v>64</v>
      </c>
      <c r="B7" s="137" t="s">
        <v>244</v>
      </c>
      <c r="C7" s="2"/>
    </row>
    <row r="8" spans="1:14" ht="12.75" customHeight="1">
      <c r="A8" s="211" t="s">
        <v>65</v>
      </c>
      <c r="B8" s="137" t="s">
        <v>244</v>
      </c>
      <c r="C8" s="2"/>
      <c r="D8"/>
    </row>
    <row r="9" spans="1:14" ht="12.75" customHeight="1">
      <c r="A9" s="211" t="s">
        <v>59</v>
      </c>
      <c r="B9" s="137" t="s">
        <v>244</v>
      </c>
      <c r="C9" s="2"/>
      <c r="D9"/>
    </row>
    <row r="10" spans="1:14" ht="12.75" customHeight="1">
      <c r="A10" s="211" t="s">
        <v>60</v>
      </c>
      <c r="B10" s="137" t="s">
        <v>244</v>
      </c>
      <c r="C10" s="2"/>
      <c r="D10"/>
    </row>
    <row r="11" spans="1:14" ht="12.75" customHeight="1">
      <c r="A11" s="209" t="s">
        <v>66</v>
      </c>
      <c r="B11" s="117" t="str">
        <f>IF(ISBLANK(Zipcode),"b",Zipcode)</f>
        <v>b</v>
      </c>
      <c r="C11" s="2"/>
      <c r="D11"/>
    </row>
    <row r="12" spans="1:14" ht="12.75" customHeight="1">
      <c r="A12" s="211" t="s">
        <v>67</v>
      </c>
      <c r="B12" s="137" t="s">
        <v>244</v>
      </c>
      <c r="C12" s="2"/>
      <c r="D12"/>
    </row>
    <row r="13" spans="1:14" ht="12.75" customHeight="1">
      <c r="A13" s="211" t="s">
        <v>19</v>
      </c>
      <c r="B13" s="137" t="s">
        <v>244</v>
      </c>
      <c r="C13" s="2"/>
      <c r="D13"/>
    </row>
    <row r="14" spans="1:14" ht="12.75" customHeight="1">
      <c r="A14" s="211" t="s">
        <v>68</v>
      </c>
      <c r="B14" s="137" t="s">
        <v>244</v>
      </c>
      <c r="C14" s="2"/>
      <c r="D14"/>
    </row>
    <row r="15" spans="1:14" ht="12.75" customHeight="1">
      <c r="A15" s="209" t="s">
        <v>69</v>
      </c>
      <c r="B15" s="2" t="str">
        <f>IF(Org="","b",IF(ISBLANK(Org),"b",Org))</f>
        <v>b</v>
      </c>
      <c r="C15" s="2"/>
      <c r="D15"/>
    </row>
    <row r="16" spans="1:14" ht="12.75" customHeight="1">
      <c r="A16" s="209" t="s">
        <v>168</v>
      </c>
      <c r="B16" s="198" t="s">
        <v>295</v>
      </c>
      <c r="C16" s="2"/>
      <c r="D16"/>
    </row>
    <row r="17" spans="1:5" ht="12.75" customHeight="1">
      <c r="A17" s="209" t="s">
        <v>169</v>
      </c>
      <c r="B17" s="198" t="s">
        <v>295</v>
      </c>
      <c r="C17" s="2"/>
      <c r="D17"/>
    </row>
    <row r="18" spans="1:5" ht="12.75" customHeight="1">
      <c r="A18" s="209" t="s">
        <v>170</v>
      </c>
      <c r="B18" s="198" t="s">
        <v>295</v>
      </c>
      <c r="C18" s="2"/>
      <c r="D18"/>
    </row>
    <row r="19" spans="1:5" ht="12.75" customHeight="1">
      <c r="A19" s="232" t="s">
        <v>160</v>
      </c>
      <c r="B19" s="118" t="str">
        <f>IF(ISBLANK(EMP_Exec),"b",EMP_Exec)</f>
        <v>b</v>
      </c>
      <c r="C19" s="2"/>
      <c r="D19"/>
    </row>
    <row r="20" spans="1:5" ht="12.75" customHeight="1">
      <c r="A20" s="232" t="s">
        <v>270</v>
      </c>
      <c r="B20" s="118" t="str">
        <f>IF(ISBLANK(EMP_Out),"b",EMP_Out)</f>
        <v>b</v>
      </c>
      <c r="C20" s="2"/>
      <c r="D20"/>
    </row>
    <row r="21" spans="1:5" ht="12.75" customHeight="1">
      <c r="A21" s="232" t="s">
        <v>271</v>
      </c>
      <c r="B21" s="118" t="str">
        <f>IF(ISBLANK(EMP_Inside),"b",EMP_Inside)</f>
        <v>b</v>
      </c>
      <c r="C21" s="2"/>
      <c r="D21"/>
    </row>
    <row r="22" spans="1:5" ht="12.75" customHeight="1">
      <c r="A22" s="232" t="s">
        <v>255</v>
      </c>
      <c r="B22" s="119" t="str">
        <f>IF(ISBLANK(EMP_PM),"b",EMP_PM)</f>
        <v>b</v>
      </c>
      <c r="D22"/>
    </row>
    <row r="23" spans="1:5" ht="12.75" customHeight="1">
      <c r="A23" s="209" t="s">
        <v>272</v>
      </c>
      <c r="B23" s="118" t="str">
        <f>IF(ISBLANK(EMP_Rental),"b",EMP_Rental)</f>
        <v>b</v>
      </c>
      <c r="C23" s="2"/>
      <c r="D23"/>
    </row>
    <row r="24" spans="1:5" ht="12.75" customHeight="1">
      <c r="A24" s="251" t="s">
        <v>536</v>
      </c>
      <c r="B24" s="207" t="str">
        <f>IF(Emp&gt;0,(EMP_WHS+Oemp),"b")</f>
        <v>b</v>
      </c>
      <c r="C24" s="257" t="s">
        <v>537</v>
      </c>
      <c r="D24"/>
    </row>
    <row r="25" spans="1:5" ht="12.75" customHeight="1">
      <c r="A25" s="232" t="s">
        <v>273</v>
      </c>
      <c r="B25" s="118" t="str">
        <f>IF(ISBLANK(EMP_Tech),"b",EMP_Tech)</f>
        <v>b</v>
      </c>
      <c r="C25" s="2"/>
      <c r="D25"/>
    </row>
    <row r="26" spans="1:5" ht="12.75" customHeight="1">
      <c r="A26" s="209" t="s">
        <v>274</v>
      </c>
      <c r="B26" s="118" t="str">
        <f>IF(ISBLANK(EMP_SVC),"b",EMP_SVC)</f>
        <v>b</v>
      </c>
      <c r="C26" s="2"/>
      <c r="D26"/>
    </row>
    <row r="27" spans="1:5" ht="12.75" customHeight="1">
      <c r="A27" s="209" t="s">
        <v>254</v>
      </c>
      <c r="B27" s="118" t="str">
        <f>IF(ISBLANK(EMP_WHS),"b",EMP_WHS)</f>
        <v>b</v>
      </c>
      <c r="C27" s="2"/>
      <c r="D27" s="26"/>
    </row>
    <row r="28" spans="1:5" ht="12.75" customHeight="1">
      <c r="A28" s="232" t="s">
        <v>70</v>
      </c>
      <c r="B28" s="82" t="str">
        <f>IF(Emp&gt;0,Oemp,"b")</f>
        <v>b</v>
      </c>
      <c r="C28" s="1"/>
    </row>
    <row r="29" spans="1:5" ht="12.75" customHeight="1">
      <c r="A29" s="234" t="s">
        <v>71</v>
      </c>
      <c r="B29" s="120" t="str">
        <f>IF(Emp&gt;0,Emp,"b")</f>
        <v>b</v>
      </c>
      <c r="C29" s="2"/>
    </row>
    <row r="30" spans="1:5" ht="12.75" customHeight="1">
      <c r="A30" s="209" t="s">
        <v>275</v>
      </c>
      <c r="B30" s="105" t="str">
        <f>IF(ISBLANK(PA_Exec),"b",PA_Exec)</f>
        <v>b</v>
      </c>
      <c r="C30" s="2"/>
    </row>
    <row r="31" spans="1:5" ht="12.75" customHeight="1">
      <c r="A31" s="209" t="s">
        <v>276</v>
      </c>
      <c r="B31" s="105" t="str">
        <f>IF(ISBLANK(PA_Out),"b",PA_Out)</f>
        <v>b</v>
      </c>
      <c r="C31" s="2"/>
    </row>
    <row r="32" spans="1:5" ht="12.75" customHeight="1">
      <c r="A32" s="209" t="s">
        <v>277</v>
      </c>
      <c r="B32" s="105" t="str">
        <f>IF(ISBLANK(PA_Inside),"b",PA_Inside)</f>
        <v>b</v>
      </c>
      <c r="C32" s="2"/>
      <c r="D32" s="2"/>
      <c r="E32" s="105"/>
    </row>
    <row r="33" spans="1:3" ht="12.75" customHeight="1">
      <c r="A33" s="212" t="s">
        <v>256</v>
      </c>
      <c r="B33" s="121" t="str">
        <f>IF(ISBLANK(PA_PM),"b",PA_PM)</f>
        <v>b</v>
      </c>
      <c r="C33" s="2"/>
    </row>
    <row r="34" spans="1:3" ht="12.75" customHeight="1">
      <c r="A34" s="209" t="s">
        <v>218</v>
      </c>
      <c r="B34" s="198" t="s">
        <v>295</v>
      </c>
      <c r="C34" s="2"/>
    </row>
    <row r="35" spans="1:3" ht="12.75" customHeight="1">
      <c r="A35" s="209" t="s">
        <v>216</v>
      </c>
      <c r="B35" s="198" t="s">
        <v>295</v>
      </c>
      <c r="C35" s="2"/>
    </row>
    <row r="36" spans="1:3" ht="12.75" customHeight="1">
      <c r="A36" s="209" t="s">
        <v>236</v>
      </c>
      <c r="B36" s="105" t="str">
        <f>IF(ISBLANK(PA_Tech),"b",PA_Tech)</f>
        <v>b</v>
      </c>
      <c r="C36" s="2"/>
    </row>
    <row r="37" spans="1:3" ht="12.75" customHeight="1">
      <c r="A37" s="209" t="s">
        <v>237</v>
      </c>
      <c r="B37" s="105" t="str">
        <f>IF(ISBLANK(PA_SVC),"b",PA_SVC)</f>
        <v>b</v>
      </c>
      <c r="C37" s="2"/>
    </row>
    <row r="38" spans="1:3" ht="12.75" customHeight="1">
      <c r="A38" s="209" t="s">
        <v>261</v>
      </c>
      <c r="B38" s="105" t="str">
        <f>IF(ISBLANK(PA_WHS),"b",PA_WHS)</f>
        <v>b</v>
      </c>
      <c r="C38" s="2"/>
    </row>
    <row r="39" spans="1:3" ht="12.75" customHeight="1">
      <c r="A39" s="209" t="s">
        <v>257</v>
      </c>
      <c r="B39" s="122" t="str">
        <f>IF(SAL_TOT&gt;0,PA_OTH,"b")</f>
        <v>b</v>
      </c>
      <c r="C39" s="2"/>
    </row>
    <row r="40" spans="1:3" ht="12.75" customHeight="1">
      <c r="A40" s="209" t="s">
        <v>238</v>
      </c>
      <c r="B40" s="123" t="str">
        <f>IF(SAL_TOT&gt;0,SAL_TOT,"b")</f>
        <v>b</v>
      </c>
      <c r="C40" s="2"/>
    </row>
    <row r="41" spans="1:3" ht="12.75" customHeight="1">
      <c r="A41" s="209" t="s">
        <v>297</v>
      </c>
      <c r="B41" s="118" t="str">
        <f>IF(ISBLANK(TechApplied),"b",TechApplied)</f>
        <v>b</v>
      </c>
      <c r="C41" s="2"/>
    </row>
    <row r="42" spans="1:3" ht="12.75" customHeight="1">
      <c r="A42" s="209" t="s">
        <v>298</v>
      </c>
      <c r="B42" s="118" t="str">
        <f>IF(ISBLANK(TechBilled),"b",TechBilled)</f>
        <v>b</v>
      </c>
      <c r="C42" s="2"/>
    </row>
    <row r="43" spans="1:3" ht="12.75" customHeight="1">
      <c r="A43" s="209" t="s">
        <v>299</v>
      </c>
      <c r="B43" s="198" t="s">
        <v>295</v>
      </c>
      <c r="C43" s="2"/>
    </row>
    <row r="44" spans="1:3" ht="12.75" customHeight="1">
      <c r="A44" s="209" t="s">
        <v>161</v>
      </c>
      <c r="B44" s="118" t="str">
        <f>IF(ISBLANK(SvcCalls),"b",SvcCalls)</f>
        <v>b</v>
      </c>
      <c r="C44" s="2"/>
    </row>
    <row r="45" spans="1:3" ht="12.75" customHeight="1">
      <c r="A45" s="209" t="s">
        <v>162</v>
      </c>
      <c r="B45" s="105" t="str">
        <f>IF(ISBLANK(SvcVeh_),"b",SvcVeh_)</f>
        <v>b</v>
      </c>
      <c r="C45" s="2"/>
    </row>
    <row r="46" spans="1:3" ht="12.75" customHeight="1">
      <c r="A46" s="209" t="s">
        <v>163</v>
      </c>
      <c r="B46" s="105" t="str">
        <f>IF(ISBLANK(SvcRecover),"b",SvcRecover)</f>
        <v>b</v>
      </c>
      <c r="C46" s="2"/>
    </row>
    <row r="47" spans="1:3" ht="12.75" customHeight="1">
      <c r="A47" s="209" t="s">
        <v>164</v>
      </c>
      <c r="B47" s="118" t="str">
        <f>IF(ISBLANK(SvcJobs),"b",SvcJobs)</f>
        <v>b</v>
      </c>
      <c r="C47" s="2"/>
    </row>
    <row r="48" spans="1:3" ht="12.75" customHeight="1">
      <c r="A48" s="209" t="s">
        <v>165</v>
      </c>
      <c r="B48" s="118" t="str">
        <f>IF(ISBLANK(STunits),"b",STunits)</f>
        <v>b</v>
      </c>
      <c r="C48" s="2"/>
    </row>
    <row r="49" spans="1:3" ht="12.75" customHeight="1">
      <c r="A49" s="209" t="s">
        <v>166</v>
      </c>
      <c r="B49" s="105" t="str">
        <f>IF(ISBLANK(STvalue),"b",STvalue)</f>
        <v>b</v>
      </c>
      <c r="C49" s="2"/>
    </row>
    <row r="50" spans="1:3" ht="12.75" customHeight="1">
      <c r="A50" s="209" t="s">
        <v>167</v>
      </c>
      <c r="B50" s="118" t="str">
        <f>IF(ISBLANK(STutil),"b",STutil)</f>
        <v>b</v>
      </c>
    </row>
    <row r="51" spans="1:3" ht="12.75" customHeight="1">
      <c r="A51" s="212" t="s">
        <v>258</v>
      </c>
      <c r="B51" s="119" t="str">
        <f>IF(ISBLANK(DownPmt),"b",DownPmt)</f>
        <v>b</v>
      </c>
    </row>
    <row r="52" spans="1:3" ht="12.75" customHeight="1">
      <c r="A52" s="212" t="s">
        <v>259</v>
      </c>
      <c r="B52" s="119" t="str">
        <f>IF(ISBLANK(FinalPmt),"b",FinalPmt)</f>
        <v>b</v>
      </c>
    </row>
    <row r="53" spans="1:3" ht="12.75" customHeight="1">
      <c r="A53" s="212" t="s">
        <v>260</v>
      </c>
      <c r="B53" s="119" t="str">
        <f>IF(ISBLANK(STOCK),"b",STOCK)</f>
        <v>b</v>
      </c>
    </row>
    <row r="54" spans="1:3" ht="12.75" customHeight="1">
      <c r="A54" s="211"/>
      <c r="B54" s="83"/>
    </row>
    <row r="55" spans="1:3" ht="12.75" customHeight="1">
      <c r="A55" s="211"/>
      <c r="B55" s="83"/>
    </row>
    <row r="56" spans="1:3" ht="12.75" customHeight="1">
      <c r="A56" s="211"/>
      <c r="B56" s="83"/>
    </row>
    <row r="57" spans="1:3" ht="12.75" customHeight="1">
      <c r="A57" s="211"/>
      <c r="B57" s="83"/>
    </row>
    <row r="58" spans="1:3" ht="12.75" customHeight="1">
      <c r="A58" s="211"/>
      <c r="B58" s="83"/>
    </row>
    <row r="59" spans="1:3" ht="12.75" customHeight="1">
      <c r="A59" s="211"/>
      <c r="B59" s="83"/>
    </row>
    <row r="60" spans="1:3" ht="12.75" customHeight="1">
      <c r="A60" s="235" t="s">
        <v>240</v>
      </c>
      <c r="B60" s="88"/>
      <c r="C60" s="1"/>
    </row>
    <row r="61" spans="1:3" ht="12.75" customHeight="1">
      <c r="A61" s="209" t="s">
        <v>73</v>
      </c>
      <c r="B61" s="124" t="str">
        <f>IF(ISBLANK(AAR),IF(AR&gt;0,AR,"b"),AAR)</f>
        <v>AAR</v>
      </c>
      <c r="C61" s="2"/>
    </row>
    <row r="62" spans="1:3" ht="12.75" customHeight="1">
      <c r="A62" s="209" t="s">
        <v>74</v>
      </c>
      <c r="B62" s="125" t="str">
        <f>IF(ISBLANK(AVG),IF(Inv&lt;&gt;0,Inv,"b"),AVG)</f>
        <v>AVG</v>
      </c>
      <c r="C62" s="2"/>
    </row>
    <row r="63" spans="1:3" ht="12.75" customHeight="1">
      <c r="A63" s="209" t="s">
        <v>171</v>
      </c>
      <c r="B63" s="126" t="str">
        <f>IF(ISBLANK(AAP),IF(AP&gt;0,AP,"b"),AAP)</f>
        <v>AAP</v>
      </c>
      <c r="C63" s="2"/>
    </row>
    <row r="64" spans="1:3" ht="12.75" customHeight="1">
      <c r="A64" s="209" t="s">
        <v>172</v>
      </c>
      <c r="B64" s="118" t="str">
        <f>IF(ISBLANK(AgeNew),"b",AgeNew)</f>
        <v>AgeNew</v>
      </c>
      <c r="C64" s="2"/>
    </row>
    <row r="65" spans="1:4" ht="12.75" customHeight="1">
      <c r="A65" s="209" t="s">
        <v>173</v>
      </c>
      <c r="B65" s="118" t="str">
        <f>IF(ISBLANK(AgeUsed),"b",AgeUsed)</f>
        <v>AgeUsed</v>
      </c>
      <c r="C65" s="2"/>
    </row>
    <row r="66" spans="1:4" ht="12.75" customHeight="1">
      <c r="A66" s="209" t="s">
        <v>174</v>
      </c>
      <c r="B66" s="118" t="str">
        <f>IF(ISBLANK(AgeParts),"b",AgeParts)</f>
        <v>AgeParts</v>
      </c>
      <c r="C66" s="2"/>
    </row>
    <row r="67" spans="1:4" ht="12.75" customHeight="1">
      <c r="A67" s="209" t="s">
        <v>175</v>
      </c>
      <c r="B67" s="83" t="str">
        <f>IF(ISBLANK(AgeSH),"b",AgeSH)</f>
        <v>AgeSH</v>
      </c>
      <c r="C67" s="2"/>
    </row>
    <row r="68" spans="1:4" ht="12.75" customHeight="1">
      <c r="A68" s="209" t="s">
        <v>75</v>
      </c>
      <c r="B68" s="127">
        <f>IF(OR(LIFO="y",LIFO="yes"),1,0)</f>
        <v>0</v>
      </c>
      <c r="C68" s="2"/>
      <c r="D68" s="27"/>
    </row>
    <row r="69" spans="1:4" ht="12.75" customHeight="1">
      <c r="A69" s="209" t="s">
        <v>76</v>
      </c>
      <c r="B69" s="128">
        <v>0</v>
      </c>
      <c r="C69" s="2"/>
      <c r="D69" s="28"/>
    </row>
    <row r="70" spans="1:4" ht="12.75" customHeight="1">
      <c r="A70" s="209" t="s">
        <v>77</v>
      </c>
      <c r="B70" s="128" t="str">
        <f>IF(ISBLANK(End),0,(End))</f>
        <v>END</v>
      </c>
      <c r="C70" s="2"/>
      <c r="D70" s="28"/>
    </row>
    <row r="71" spans="1:4" ht="12.75" customHeight="1">
      <c r="A71" s="209" t="s">
        <v>80</v>
      </c>
      <c r="B71" s="9" t="str">
        <f>IF(ISBLANK(Cash),"b",Cash)</f>
        <v>CASH</v>
      </c>
      <c r="C71" s="2"/>
    </row>
    <row r="72" spans="1:4" ht="12.75" customHeight="1">
      <c r="A72" s="209" t="s">
        <v>81</v>
      </c>
      <c r="B72" s="9" t="str">
        <f>IF(ISBLANK(AR),"b",AR)</f>
        <v>AR</v>
      </c>
      <c r="C72" s="2"/>
    </row>
    <row r="73" spans="1:4" ht="12.75" customHeight="1">
      <c r="A73" s="209" t="s">
        <v>176</v>
      </c>
      <c r="B73" s="9" t="str">
        <f>IF(ISBLANK(NEWINV),"b",NEWINV)</f>
        <v>NEWINV</v>
      </c>
      <c r="C73" s="2"/>
    </row>
    <row r="74" spans="1:4" ht="12.75" customHeight="1">
      <c r="A74" s="209" t="s">
        <v>177</v>
      </c>
      <c r="B74" s="9" t="str">
        <f>IF(ISBLANK(USEDINV),"b",USEDINV)</f>
        <v>USEDINV</v>
      </c>
      <c r="C74" s="2"/>
    </row>
    <row r="75" spans="1:4" ht="12.75" customHeight="1">
      <c r="A75" s="209" t="s">
        <v>178</v>
      </c>
      <c r="B75" s="9" t="str">
        <f>IF(ISBLANK(PARTSINV),"b",PARTSINV)</f>
        <v>PARTSINV</v>
      </c>
      <c r="C75" s="2"/>
    </row>
    <row r="76" spans="1:4" ht="12.75" customHeight="1">
      <c r="A76" s="209" t="s">
        <v>179</v>
      </c>
      <c r="B76" s="129" t="str">
        <f>IF(ISBLANK(OINV),"b",OINV)</f>
        <v>OINV</v>
      </c>
      <c r="C76" s="2"/>
    </row>
    <row r="77" spans="1:4" ht="12.75" customHeight="1">
      <c r="A77" s="209" t="s">
        <v>82</v>
      </c>
      <c r="B77" s="9" t="str">
        <f>IF(Inv&gt;0,Inv,"b")</f>
        <v>INV</v>
      </c>
      <c r="C77" s="2"/>
    </row>
    <row r="78" spans="1:4" ht="12.75" customHeight="1">
      <c r="A78" s="209" t="s">
        <v>83</v>
      </c>
      <c r="B78" s="130" t="str">
        <f>IF((CA&gt;0),(Oca),"b")</f>
        <v>OCA</v>
      </c>
      <c r="C78" s="2"/>
    </row>
    <row r="79" spans="1:4" ht="12.75" customHeight="1">
      <c r="A79" s="208" t="s">
        <v>79</v>
      </c>
      <c r="B79" s="18" t="str">
        <f>IF(CA&lt;&gt;0,CA,"b")</f>
        <v>CA</v>
      </c>
      <c r="C79" s="1"/>
    </row>
    <row r="80" spans="1:4" ht="12.75" customHeight="1">
      <c r="A80" s="209" t="s">
        <v>242</v>
      </c>
      <c r="B80" s="85" t="s">
        <v>244</v>
      </c>
      <c r="C80" s="2"/>
    </row>
    <row r="81" spans="1:3" ht="12.75" customHeight="1">
      <c r="A81" s="209" t="s">
        <v>243</v>
      </c>
      <c r="B81" s="85" t="s">
        <v>244</v>
      </c>
      <c r="C81" s="2"/>
    </row>
    <row r="82" spans="1:3" ht="12.75" customHeight="1">
      <c r="A82" s="209" t="s">
        <v>84</v>
      </c>
      <c r="B82" s="9" t="str">
        <f>IF(Fixed&lt;&gt;0,Fixed,"b")</f>
        <v>FIXED</v>
      </c>
      <c r="C82" s="2"/>
    </row>
    <row r="83" spans="1:3" ht="12.75" customHeight="1">
      <c r="A83" s="209" t="s">
        <v>85</v>
      </c>
      <c r="B83" s="130" t="str">
        <f>IF((TA&gt;0),(OFA),"b")</f>
        <v>OFA</v>
      </c>
      <c r="C83" s="2"/>
    </row>
    <row r="84" spans="1:3" ht="12.75" customHeight="1">
      <c r="A84" s="208" t="s">
        <v>78</v>
      </c>
      <c r="B84" s="18" t="str">
        <f>IF(TA&lt;&gt;0,TA,"b")</f>
        <v>TA</v>
      </c>
      <c r="C84" s="1"/>
    </row>
    <row r="85" spans="1:3" ht="12.75" customHeight="1">
      <c r="A85" s="209" t="s">
        <v>87</v>
      </c>
      <c r="B85" s="9" t="str">
        <f>IF(ISBLANK(AP),"b",AP)</f>
        <v>AP</v>
      </c>
      <c r="C85" s="2"/>
    </row>
    <row r="86" spans="1:3" ht="12.75" customHeight="1">
      <c r="A86" s="209" t="s">
        <v>88</v>
      </c>
      <c r="B86" s="9" t="str">
        <f>IF(ISBLANK(NP),"b",NP)</f>
        <v>NP</v>
      </c>
      <c r="C86" s="2"/>
    </row>
    <row r="87" spans="1:3" ht="12.75" customHeight="1">
      <c r="A87" s="209" t="s">
        <v>89</v>
      </c>
      <c r="B87" s="130" t="str">
        <f>IF((CL&gt;0),(Ocl),"b")</f>
        <v>OCL</v>
      </c>
      <c r="C87" s="2"/>
    </row>
    <row r="88" spans="1:3" ht="12.75" customHeight="1">
      <c r="A88" s="208" t="s">
        <v>86</v>
      </c>
      <c r="B88" s="18" t="str">
        <f>IF(CL&gt;0,CL,"b")</f>
        <v>CL</v>
      </c>
      <c r="C88" s="1"/>
    </row>
    <row r="89" spans="1:3" ht="12.75" customHeight="1">
      <c r="A89" s="209" t="s">
        <v>90</v>
      </c>
      <c r="B89" s="9" t="str">
        <f>IF(ISBLANK(LTL),"b",LTL)</f>
        <v>LTL</v>
      </c>
      <c r="C89" s="2"/>
    </row>
    <row r="90" spans="1:3" ht="12.75" customHeight="1">
      <c r="A90" s="209" t="s">
        <v>91</v>
      </c>
      <c r="B90" s="130" t="str">
        <f>IF(ISBLANK(Loan),0,(Loan))</f>
        <v>LOAN</v>
      </c>
      <c r="C90" s="2"/>
    </row>
    <row r="91" spans="1:3" ht="12.75" customHeight="1">
      <c r="A91" s="209" t="s">
        <v>92</v>
      </c>
      <c r="B91" s="9" t="str">
        <f>IF(Eqty&lt;&gt;TA,Eqty,"b")</f>
        <v>EQTY</v>
      </c>
      <c r="C91" s="2"/>
    </row>
    <row r="92" spans="1:3" ht="12.75" customHeight="1">
      <c r="A92" s="208" t="s">
        <v>93</v>
      </c>
      <c r="B92" s="18" t="str">
        <f>IF(Liab&lt;&gt;0,Liab,"b")</f>
        <v>LIAB</v>
      </c>
      <c r="C92" s="1"/>
    </row>
    <row r="93" spans="1:3" ht="12.75" customHeight="1">
      <c r="A93" s="236" t="s">
        <v>290</v>
      </c>
      <c r="B93" s="131" t="s">
        <v>290</v>
      </c>
      <c r="C93" s="1"/>
    </row>
    <row r="94" spans="1:3" ht="12.75" customHeight="1">
      <c r="A94" s="235" t="s">
        <v>241</v>
      </c>
      <c r="B94" s="132"/>
      <c r="C94" s="1"/>
    </row>
    <row r="95" spans="1:3" ht="12.75" customHeight="1">
      <c r="A95" s="208" t="s">
        <v>72</v>
      </c>
      <c r="B95" s="9" t="str">
        <f>IF(Prev="","b",IF(ISBLANK(Prev),"b",Prev))</f>
        <v>b</v>
      </c>
      <c r="C95" s="1"/>
    </row>
    <row r="96" spans="1:3" ht="12.75" customHeight="1">
      <c r="A96" s="234" t="s">
        <v>94</v>
      </c>
      <c r="B96" s="18" t="str">
        <f>IF(ISBLANK(NS),"b",NS)</f>
        <v>b</v>
      </c>
      <c r="C96" s="1"/>
    </row>
    <row r="97" spans="1:3" ht="12.75" customHeight="1">
      <c r="A97" s="209" t="s">
        <v>98</v>
      </c>
      <c r="B97" s="85" t="str">
        <f>IF(ISBLANK(Equip),"b",Equip)</f>
        <v>EQUIP</v>
      </c>
      <c r="C97" s="2"/>
    </row>
    <row r="98" spans="1:3" ht="12.75" customHeight="1">
      <c r="A98" s="209" t="s">
        <v>180</v>
      </c>
      <c r="B98" s="85" t="str">
        <f>IF(ISBLANK(TechWages),"b",TechWages)</f>
        <v>TechWages</v>
      </c>
      <c r="C98" s="2"/>
    </row>
    <row r="99" spans="1:3" ht="12.75" customHeight="1">
      <c r="A99" s="209" t="s">
        <v>181</v>
      </c>
      <c r="B99" s="85" t="str">
        <f>IF(ISBLANK(RentalCost),"b",RentalCost)</f>
        <v>RentalCost</v>
      </c>
      <c r="C99" s="2"/>
    </row>
    <row r="100" spans="1:3" ht="12.75" customHeight="1">
      <c r="A100" s="209" t="s">
        <v>182</v>
      </c>
      <c r="B100" s="86" t="str">
        <f>IF(ISBLANK(OCOGS),"b",OCOGS)</f>
        <v>OCOGS</v>
      </c>
      <c r="C100" s="2"/>
    </row>
    <row r="101" spans="1:3" ht="12.75" customHeight="1">
      <c r="A101" s="208" t="s">
        <v>101</v>
      </c>
      <c r="B101" s="18" t="str">
        <f>IF(COGS&lt;&gt;0,COGS,"b")</f>
        <v>b</v>
      </c>
      <c r="C101" s="1"/>
    </row>
    <row r="102" spans="1:3" ht="12.75" customHeight="1">
      <c r="A102" s="208" t="s">
        <v>102</v>
      </c>
      <c r="B102" s="130" t="str">
        <f>IF(AND(NS&gt;0,COGS&gt;0),GP,"b")</f>
        <v>b</v>
      </c>
      <c r="C102" s="1"/>
    </row>
    <row r="103" spans="1:3" ht="12.75" customHeight="1">
      <c r="A103" s="209" t="s">
        <v>103</v>
      </c>
      <c r="B103" s="9" t="str">
        <f>IF(ISBLANK(PA_Exec),"b",PA_Exec)</f>
        <v>b</v>
      </c>
      <c r="C103" s="2"/>
    </row>
    <row r="104" spans="1:3" ht="12.75" customHeight="1">
      <c r="A104" s="209" t="s">
        <v>104</v>
      </c>
      <c r="B104" s="9" t="str">
        <f>IF(ISBLANK(PA_Out),"b",PA_Out)</f>
        <v>b</v>
      </c>
      <c r="C104" s="2"/>
    </row>
    <row r="105" spans="1:3" ht="12.75" customHeight="1">
      <c r="A105" s="209" t="s">
        <v>235</v>
      </c>
      <c r="B105" s="9" t="str">
        <f>IF(ISBLANK(PA_Inside),"b",PA_Inside)</f>
        <v>b</v>
      </c>
      <c r="C105" s="2"/>
    </row>
    <row r="106" spans="1:3" ht="12.75" customHeight="1">
      <c r="A106" s="209" t="s">
        <v>218</v>
      </c>
      <c r="B106" s="198" t="s">
        <v>295</v>
      </c>
      <c r="C106" s="2"/>
    </row>
    <row r="107" spans="1:3" ht="12.75" customHeight="1">
      <c r="A107" s="209" t="s">
        <v>216</v>
      </c>
      <c r="B107" s="198" t="s">
        <v>295</v>
      </c>
      <c r="C107" s="2"/>
    </row>
    <row r="108" spans="1:3" ht="12.75" customHeight="1">
      <c r="A108" s="209" t="s">
        <v>237</v>
      </c>
      <c r="B108" s="9" t="str">
        <f>IF(ISBLANK(PA_SVC),"b",PA_SVC)</f>
        <v>b</v>
      </c>
      <c r="C108" s="2"/>
    </row>
    <row r="109" spans="1:3" ht="12.75" customHeight="1">
      <c r="A109" s="213" t="s">
        <v>261</v>
      </c>
      <c r="B109" s="133" t="str">
        <f>IF(ISBLANK(PA_WHS),"b",PA_WHS)</f>
        <v>b</v>
      </c>
      <c r="C109" s="2"/>
    </row>
    <row r="110" spans="1:3" ht="12.75" customHeight="1">
      <c r="A110" s="213" t="s">
        <v>300</v>
      </c>
      <c r="B110" s="134">
        <f>IFERROR(IF(SAL-(PA_Exec+PA_Out+PA_Inside+PA_WHS+PA_SVC+PA_PM)&gt;0,SAL-((PA_Exec+PA_Out+PA_Inside+PA_WHS+PA_SVC+PA_PM)),0),"B")</f>
        <v>0</v>
      </c>
      <c r="C110" s="2"/>
    </row>
    <row r="111" spans="1:3" ht="12.75" customHeight="1">
      <c r="A111" s="213" t="s">
        <v>257</v>
      </c>
      <c r="B111" s="135" t="str">
        <f>IF(ISBLANK(PA_OTH),"b",PA_OTH)</f>
        <v>b</v>
      </c>
      <c r="C111" s="2"/>
    </row>
    <row r="112" spans="1:3" ht="12.75" customHeight="1">
      <c r="A112" s="212" t="s">
        <v>256</v>
      </c>
      <c r="B112" s="136" t="str">
        <f>IF(ISBLANK(PA_PM),"b",PA_PM)</f>
        <v>b</v>
      </c>
      <c r="C112" s="2"/>
    </row>
    <row r="113" spans="1:3" ht="12.75" customHeight="1">
      <c r="A113" s="212" t="s">
        <v>236</v>
      </c>
      <c r="B113" s="136" t="str">
        <f>IF(ISBLANK(PA_Tech),"b",PA_Tech)</f>
        <v>b</v>
      </c>
      <c r="C113" s="2"/>
    </row>
    <row r="114" spans="1:3" ht="12.75" customHeight="1">
      <c r="A114" s="211"/>
      <c r="B114" s="85" t="s">
        <v>244</v>
      </c>
      <c r="C114" s="2"/>
    </row>
    <row r="115" spans="1:3" ht="12.75" customHeight="1">
      <c r="A115" s="209" t="s">
        <v>183</v>
      </c>
      <c r="B115" s="135" t="str">
        <f>IF(SAL&gt;0,SAL,"b")</f>
        <v>b</v>
      </c>
      <c r="C115" s="2"/>
    </row>
    <row r="116" spans="1:3" ht="12.75" customHeight="1">
      <c r="A116" s="209" t="s">
        <v>184</v>
      </c>
      <c r="B116" s="9" t="str">
        <f>IF(ISBLANK(PT),"b",PT)</f>
        <v>b</v>
      </c>
      <c r="C116" s="2"/>
    </row>
    <row r="117" spans="1:3" ht="12.75" customHeight="1">
      <c r="A117" s="209" t="s">
        <v>186</v>
      </c>
      <c r="B117" s="9" t="str">
        <f>IF(ISBLANK(GRP_INS),"b",GRP_INS)</f>
        <v>b</v>
      </c>
      <c r="C117" s="2"/>
    </row>
    <row r="118" spans="1:3" ht="12.75" customHeight="1">
      <c r="A118" s="209" t="s">
        <v>185</v>
      </c>
      <c r="B118" s="9" t="str">
        <f>IF(ISBLANK(BENE),"b",BENE)</f>
        <v>b</v>
      </c>
      <c r="C118" s="2"/>
    </row>
    <row r="119" spans="1:3" ht="12.75" customHeight="1">
      <c r="A119" s="209" t="s">
        <v>105</v>
      </c>
      <c r="B119" s="9" t="str">
        <f>IF(PA&gt;0,PA,"b")</f>
        <v>b</v>
      </c>
      <c r="C119" s="2"/>
    </row>
    <row r="120" spans="1:3" ht="12.75" customHeight="1">
      <c r="A120" s="209" t="s">
        <v>96</v>
      </c>
      <c r="B120" s="9" t="str">
        <f>IF(ISBLANK(UT),"b",UT)</f>
        <v>b</v>
      </c>
      <c r="C120" s="2"/>
    </row>
    <row r="121" spans="1:3" ht="12.75" customHeight="1">
      <c r="A121" s="211" t="s">
        <v>249</v>
      </c>
      <c r="B121" s="137" t="s">
        <v>244</v>
      </c>
      <c r="C121" s="2"/>
    </row>
    <row r="122" spans="1:3" ht="12.75" customHeight="1">
      <c r="A122" s="209" t="s">
        <v>95</v>
      </c>
      <c r="B122" s="9" t="str">
        <f>IF(ISBLANK(RM),"b",RM)</f>
        <v>b</v>
      </c>
      <c r="C122" s="2"/>
    </row>
    <row r="123" spans="1:3" ht="12.75" customHeight="1">
      <c r="A123" s="209" t="s">
        <v>97</v>
      </c>
      <c r="B123" s="9" t="str">
        <f>IF(ISBLANK(Rent),"b",Rent)</f>
        <v>b</v>
      </c>
      <c r="C123" s="2"/>
    </row>
    <row r="124" spans="1:3" ht="12.75" customHeight="1">
      <c r="A124" s="209" t="s">
        <v>187</v>
      </c>
      <c r="B124" s="9" t="str">
        <f>IF(OC&gt;0,OC,"b")</f>
        <v>b</v>
      </c>
      <c r="C124" s="2"/>
    </row>
    <row r="125" spans="1:3" ht="12.75" customHeight="1">
      <c r="A125" s="209" t="s">
        <v>188</v>
      </c>
      <c r="B125" s="9" t="str">
        <f>IF(ISBLANK(VEH),"b",VEH)</f>
        <v>b</v>
      </c>
      <c r="C125" s="2"/>
    </row>
    <row r="126" spans="1:3" ht="12.75" customHeight="1">
      <c r="A126" s="209" t="s">
        <v>99</v>
      </c>
      <c r="B126" s="9" t="str">
        <f>IF(ISBLANK(Ins),"b",Ins)</f>
        <v>b</v>
      </c>
      <c r="C126" s="2"/>
    </row>
    <row r="127" spans="1:3" ht="12.75" customHeight="1">
      <c r="A127" s="209" t="s">
        <v>100</v>
      </c>
      <c r="B127" s="9" t="str">
        <f>IF(ISBLANK(DPR),"b",DPR)</f>
        <v>b</v>
      </c>
      <c r="C127" s="2"/>
    </row>
    <row r="128" spans="1:3" ht="12.75" customHeight="1">
      <c r="A128" s="209" t="s">
        <v>189</v>
      </c>
      <c r="B128" s="9" t="str">
        <f>IF(ISBLANK(TRN),"b",TRN)</f>
        <v>b</v>
      </c>
      <c r="C128" s="2"/>
    </row>
    <row r="129" spans="1:3" ht="12.75" customHeight="1">
      <c r="A129" s="209" t="s">
        <v>190</v>
      </c>
      <c r="B129" s="9" t="str">
        <f>IF(ISBLANK(MIS),"b",MIS)</f>
        <v>b</v>
      </c>
      <c r="C129" s="2"/>
    </row>
    <row r="130" spans="1:3" ht="12.75" customHeight="1">
      <c r="A130" s="209" t="s">
        <v>106</v>
      </c>
      <c r="B130" s="9" t="str">
        <f>IF(ISBLANK(AD),"b",AD)</f>
        <v>b</v>
      </c>
      <c r="C130" s="2"/>
    </row>
    <row r="131" spans="1:3" ht="12.75" customHeight="1">
      <c r="A131" s="211"/>
      <c r="B131" s="85" t="s">
        <v>244</v>
      </c>
      <c r="C131" s="2"/>
    </row>
    <row r="132" spans="1:3" ht="12.75" customHeight="1">
      <c r="A132" s="211"/>
      <c r="B132" s="85" t="s">
        <v>244</v>
      </c>
      <c r="C132" s="2"/>
    </row>
    <row r="133" spans="1:3" ht="12.75" customHeight="1">
      <c r="A133" s="211"/>
      <c r="B133" s="85" t="s">
        <v>244</v>
      </c>
      <c r="C133" s="2"/>
    </row>
    <row r="134" spans="1:3" ht="12.75" customHeight="1">
      <c r="A134" s="209" t="s">
        <v>107</v>
      </c>
      <c r="B134" s="130" t="str">
        <f>IF((TE&gt;0),(OE),"b")</f>
        <v>b</v>
      </c>
      <c r="C134" s="2"/>
    </row>
    <row r="135" spans="1:3" ht="12.75" customHeight="1">
      <c r="A135" s="209" t="s">
        <v>108</v>
      </c>
      <c r="B135" s="18" t="str">
        <f>IF(TOE&lt;&gt;0,TOE,"b")</f>
        <v>b</v>
      </c>
      <c r="C135" s="2"/>
    </row>
    <row r="136" spans="1:3" ht="12.75" customHeight="1">
      <c r="A136" s="208" t="s">
        <v>109</v>
      </c>
      <c r="B136" s="18" t="str">
        <f>IF(TE&lt;&gt;0,TE,"b")</f>
        <v>b</v>
      </c>
      <c r="C136" s="1"/>
    </row>
    <row r="137" spans="1:3" ht="12.75" customHeight="1">
      <c r="A137" s="208" t="s">
        <v>110</v>
      </c>
      <c r="B137" s="130" t="str">
        <f>IF(AND(GP&lt;&gt;0,TE&gt;0),OP,"b")</f>
        <v>b</v>
      </c>
      <c r="C137" s="1"/>
    </row>
    <row r="138" spans="1:3" ht="12.75" customHeight="1">
      <c r="A138" s="209" t="s">
        <v>111</v>
      </c>
      <c r="B138" s="9" t="str">
        <f>IF(ISBLANK(OI),"b",OI)</f>
        <v>b</v>
      </c>
      <c r="C138" s="2"/>
    </row>
    <row r="139" spans="1:3" ht="12.75" customHeight="1">
      <c r="A139" s="209" t="s">
        <v>112</v>
      </c>
      <c r="B139" s="9" t="str">
        <f>IF(ISBLANK(Int),"b",Int)</f>
        <v>b</v>
      </c>
      <c r="C139" s="2"/>
    </row>
    <row r="140" spans="1:3" ht="12.75" customHeight="1">
      <c r="A140" s="209" t="s">
        <v>113</v>
      </c>
      <c r="B140" s="9" t="str">
        <f>IF(ISBLANK(Oex),"b",Oex)</f>
        <v>b</v>
      </c>
      <c r="C140" s="2"/>
    </row>
    <row r="141" spans="1:3" ht="12.75" customHeight="1">
      <c r="A141" s="214" t="s">
        <v>291</v>
      </c>
      <c r="B141" s="85" t="s">
        <v>244</v>
      </c>
      <c r="C141" s="2"/>
    </row>
    <row r="142" spans="1:3" ht="12.75" customHeight="1">
      <c r="A142" s="215" t="s">
        <v>292</v>
      </c>
      <c r="B142" s="85" t="s">
        <v>244</v>
      </c>
      <c r="C142" s="2"/>
    </row>
    <row r="143" spans="1:3" ht="12.75" customHeight="1">
      <c r="A143" s="215" t="s">
        <v>293</v>
      </c>
      <c r="B143" s="85" t="s">
        <v>244</v>
      </c>
      <c r="C143" s="2"/>
    </row>
    <row r="144" spans="1:3" ht="12.75" customHeight="1">
      <c r="A144" s="208" t="s">
        <v>114</v>
      </c>
      <c r="B144" s="130" t="str">
        <f>IF(AND(GP&lt;&gt;0,TE&gt;0),PBT,"b")</f>
        <v>b</v>
      </c>
      <c r="C144" s="1"/>
    </row>
    <row r="145" spans="1:3" ht="12.75" customHeight="1">
      <c r="A145" s="209" t="s">
        <v>115</v>
      </c>
      <c r="B145" s="75" t="str">
        <f>IF(ISBLANK(Tax),"b",(Tax))</f>
        <v>b</v>
      </c>
      <c r="C145" s="2"/>
    </row>
    <row r="146" spans="1:3" ht="12.75" customHeight="1">
      <c r="A146" s="208" t="s">
        <v>116</v>
      </c>
      <c r="B146" s="75" t="str">
        <f>IF(ISBLANK(Tax),"b",(Net))</f>
        <v>b</v>
      </c>
      <c r="C146" s="1"/>
    </row>
    <row r="147" spans="1:3" ht="12.75" customHeight="1">
      <c r="A147" s="209" t="s">
        <v>156</v>
      </c>
      <c r="B147" s="118" t="str">
        <f>IF((NS_OTH&lt;&gt;NS),((NS_New+NS_Used+NS_Counter+NS_RENT)/NS*100),"b")</f>
        <v>b</v>
      </c>
      <c r="C147" s="2"/>
    </row>
    <row r="148" spans="1:3" ht="12.75" customHeight="1">
      <c r="A148" s="209" t="s">
        <v>157</v>
      </c>
      <c r="B148" s="118" t="str">
        <f>IF(NS_OTH&lt;&gt;NS,NS_ES/NS*100,"b")</f>
        <v>b</v>
      </c>
      <c r="C148" s="2"/>
    </row>
    <row r="149" spans="1:3" ht="12.75" customHeight="1">
      <c r="A149" s="209" t="s">
        <v>158</v>
      </c>
      <c r="B149" s="118" t="str">
        <f>IF(NS_OTH&lt;&gt;NS,NS_SH/NS*100,"b")</f>
        <v>b</v>
      </c>
      <c r="C149" s="2"/>
    </row>
    <row r="150" spans="1:3" ht="12.75" customHeight="1">
      <c r="A150" s="209" t="s">
        <v>159</v>
      </c>
      <c r="B150" s="118" t="str">
        <f>IF((NS_OTH&lt;&gt;NS),100-(LTrucks+EngSys+SH),"b")</f>
        <v>b</v>
      </c>
      <c r="C150" s="2"/>
    </row>
    <row r="151" spans="1:3" ht="12.75" customHeight="1">
      <c r="A151" s="209" t="s">
        <v>191</v>
      </c>
      <c r="B151" s="105" t="str">
        <f>IF((NS_OTH&lt;&gt;NS),NS_New,"b")</f>
        <v>b</v>
      </c>
      <c r="C151" s="2"/>
    </row>
    <row r="152" spans="1:3" ht="12.75" customHeight="1">
      <c r="A152" s="209" t="s">
        <v>192</v>
      </c>
      <c r="B152" s="9" t="str">
        <f>IF((NS_OTH&lt;&gt;NS),NS_Used,"b")</f>
        <v>b</v>
      </c>
      <c r="C152" s="2"/>
    </row>
    <row r="153" spans="1:3" ht="12.75" customHeight="1">
      <c r="A153" s="232" t="s">
        <v>193</v>
      </c>
      <c r="B153" s="9" t="str">
        <f>IF((NS_OTH&lt;&gt;NS),NS_SH,"b")</f>
        <v>b</v>
      </c>
      <c r="C153" s="2"/>
    </row>
    <row r="154" spans="1:3" ht="12.75" customHeight="1">
      <c r="A154" s="232" t="s">
        <v>194</v>
      </c>
      <c r="B154" s="9" t="str">
        <f>IF((NS_OTH&lt;&gt;NS),NS_ES,"b")</f>
        <v>b</v>
      </c>
      <c r="C154" s="2"/>
    </row>
    <row r="155" spans="1:3" ht="12.75" customHeight="1">
      <c r="A155" s="209" t="s">
        <v>195</v>
      </c>
      <c r="B155" s="9" t="str">
        <f>IF((NS_OTH&lt;&gt;NS),NS_Counter,"b")</f>
        <v>b</v>
      </c>
      <c r="C155" s="2"/>
    </row>
    <row r="156" spans="1:3" ht="12.75" customHeight="1">
      <c r="A156" s="251" t="s">
        <v>196</v>
      </c>
      <c r="B156" s="9" t="str">
        <f>IF((NS_OTH&lt;&gt;NS),NS_SVC,"b")</f>
        <v>b</v>
      </c>
      <c r="C156" s="2"/>
    </row>
    <row r="157" spans="1:3" ht="12.75" customHeight="1">
      <c r="A157" s="209" t="s">
        <v>197</v>
      </c>
      <c r="B157" s="9" t="str">
        <f>IF((NS_OTH&lt;&gt;NS),NS_RENT,"b")</f>
        <v>b</v>
      </c>
      <c r="C157" s="2"/>
    </row>
    <row r="158" spans="1:3" ht="12.75" customHeight="1">
      <c r="A158" s="212" t="s">
        <v>265</v>
      </c>
      <c r="B158" s="136" t="str">
        <f>IF((NS_OTH&lt;&gt;NS),NS_Install,"b")</f>
        <v>b</v>
      </c>
      <c r="C158" s="2"/>
    </row>
    <row r="159" spans="1:3" ht="12.75" customHeight="1">
      <c r="A159" s="209" t="s">
        <v>198</v>
      </c>
      <c r="B159" s="9" t="str">
        <f>IF((NS_OTH&lt;&gt;NS),NS_OTH,"b")</f>
        <v>b</v>
      </c>
      <c r="C159" s="2"/>
    </row>
    <row r="160" spans="1:3" ht="12.75" customHeight="1">
      <c r="A160" s="209" t="s">
        <v>207</v>
      </c>
      <c r="B160" s="105" t="str">
        <f>IF((COGS_OTH&lt;&gt;COGS),COGS_New,"b")</f>
        <v>b</v>
      </c>
      <c r="C160" s="2"/>
    </row>
    <row r="161" spans="1:3" ht="12.75" customHeight="1">
      <c r="A161" s="209" t="s">
        <v>208</v>
      </c>
      <c r="B161" s="9" t="str">
        <f>IF((COGS_OTH&lt;&gt;COGS),COGS_Used,"b")</f>
        <v>b</v>
      </c>
      <c r="C161" s="2"/>
    </row>
    <row r="162" spans="1:3" ht="12.75" customHeight="1">
      <c r="A162" s="232" t="s">
        <v>209</v>
      </c>
      <c r="B162" s="9" t="str">
        <f>IF((COGS_OTH&lt;&gt;COGS),COGS_SH,"b")</f>
        <v>b</v>
      </c>
      <c r="C162" s="2"/>
    </row>
    <row r="163" spans="1:3" ht="12.75" customHeight="1">
      <c r="A163" s="232" t="s">
        <v>210</v>
      </c>
      <c r="B163" s="9" t="str">
        <f>IF((COGS_OTH&lt;&gt;COGS),COGS_ES,"b")</f>
        <v>b</v>
      </c>
      <c r="C163" s="2"/>
    </row>
    <row r="164" spans="1:3" ht="12.75" customHeight="1">
      <c r="A164" s="209" t="s">
        <v>211</v>
      </c>
      <c r="B164" s="9" t="str">
        <f>IF((COGS_OTH&lt;&gt;COGS),COGS_Counter,"b")</f>
        <v>b</v>
      </c>
      <c r="C164" s="2"/>
    </row>
    <row r="165" spans="1:3" ht="12.75" customHeight="1">
      <c r="A165" s="251" t="s">
        <v>212</v>
      </c>
      <c r="B165" s="9" t="str">
        <f>IF((COGS_OTH&lt;&gt;COGS),COGS_SVC,"b")</f>
        <v>b</v>
      </c>
      <c r="C165" s="2"/>
    </row>
    <row r="166" spans="1:3" ht="12.75" customHeight="1">
      <c r="A166" s="209" t="s">
        <v>213</v>
      </c>
      <c r="B166" s="9" t="str">
        <f>IF((COGS_OTH&lt;&gt;COGS),COGS_Rent,"b")</f>
        <v>b</v>
      </c>
      <c r="C166" s="2"/>
    </row>
    <row r="167" spans="1:3" ht="12.75" customHeight="1">
      <c r="A167" s="212" t="s">
        <v>266</v>
      </c>
      <c r="B167" s="136" t="str">
        <f>IF((COGS_OTH&lt;&gt;COGS),COGS_Install,"b")</f>
        <v>b</v>
      </c>
      <c r="C167" s="2"/>
    </row>
    <row r="168" spans="1:3" ht="12.75" customHeight="1">
      <c r="A168" s="209" t="s">
        <v>214</v>
      </c>
      <c r="B168" s="9" t="str">
        <f>IF((COGS_OTH&lt;&gt;COGS),COGS_OTH,"b")</f>
        <v>b</v>
      </c>
      <c r="C168" s="2"/>
    </row>
    <row r="169" spans="1:3" ht="12.75" customHeight="1">
      <c r="A169" s="237" t="s">
        <v>199</v>
      </c>
      <c r="B169" s="138" t="str">
        <f>IF(AND(NS_New&gt;0,COGS_New&gt;0),NS_New-COGS_New,"b")</f>
        <v>b</v>
      </c>
      <c r="C169" s="76"/>
    </row>
    <row r="170" spans="1:3" ht="12.75" customHeight="1">
      <c r="A170" s="237" t="s">
        <v>200</v>
      </c>
      <c r="B170" s="139" t="str">
        <f>IF(AND(NS_Used&gt;0,COGS_Used),NS_Used-COGS_Used,"b")</f>
        <v>b</v>
      </c>
      <c r="C170" s="76"/>
    </row>
    <row r="171" spans="1:3" ht="12.75" customHeight="1">
      <c r="A171" s="237" t="s">
        <v>201</v>
      </c>
      <c r="B171" s="139" t="str">
        <f>IF(AND(NS_SH&gt;0,COGS_SH),NS_SH-COGS_SH,"b")</f>
        <v>b</v>
      </c>
      <c r="C171" s="76"/>
    </row>
    <row r="172" spans="1:3" ht="12.75" customHeight="1">
      <c r="A172" s="237" t="s">
        <v>202</v>
      </c>
      <c r="B172" s="139" t="str">
        <f>IF(AND(NS_ES&gt;0,COGS_ES&gt;0),NS_ES-COGS_ES,"b")</f>
        <v>b</v>
      </c>
      <c r="C172" s="76"/>
    </row>
    <row r="173" spans="1:3" ht="12.75" customHeight="1">
      <c r="A173" s="237" t="s">
        <v>203</v>
      </c>
      <c r="B173" s="139" t="str">
        <f>IF(AND(NS_Counter&gt;0,COGS_Counter&gt;0),NS_Counter-COGS_Counter,"b")</f>
        <v>b</v>
      </c>
      <c r="C173" s="76"/>
    </row>
    <row r="174" spans="1:3" ht="12.75" customHeight="1">
      <c r="A174" s="250" t="s">
        <v>204</v>
      </c>
      <c r="B174" s="139" t="str">
        <f>IF(AND(NS_SVC&gt;0,COGS_SVC&gt;0),NS_SVC-COGS_SVC,"b")</f>
        <v>b</v>
      </c>
      <c r="C174" s="76"/>
    </row>
    <row r="175" spans="1:3" ht="12.75" customHeight="1">
      <c r="A175" s="237" t="s">
        <v>205</v>
      </c>
      <c r="B175" s="139" t="str">
        <f>IF(AND(NS_RENT&gt;0,COGS_Rent&gt;0),NS_RENT-COGS_Rent,"b")</f>
        <v>b</v>
      </c>
      <c r="C175" s="76"/>
    </row>
    <row r="176" spans="1:3" ht="12.75" customHeight="1">
      <c r="A176" s="250" t="s">
        <v>267</v>
      </c>
      <c r="B176" s="140" t="str">
        <f>IF(AND(NS_Install&gt;0,COGS_Install&gt;0),NS_Install-COGS_Install,"b")</f>
        <v>b</v>
      </c>
      <c r="C176" s="76"/>
    </row>
    <row r="177" spans="1:3" ht="12.75" customHeight="1">
      <c r="A177" s="237" t="s">
        <v>206</v>
      </c>
      <c r="B177" s="139" t="str">
        <f>IF(AND(NS_OTH&gt;0,COGS_OTH&gt;0),NS_OTH-COGS_OTH,"b")</f>
        <v>b</v>
      </c>
      <c r="C177" s="76"/>
    </row>
    <row r="178" spans="1:3" ht="12.75" customHeight="1">
      <c r="A178" s="209" t="s">
        <v>245</v>
      </c>
      <c r="B178" s="141" t="str">
        <f>IFERROR(PT/SAL,"b")</f>
        <v>b</v>
      </c>
      <c r="C178" s="2"/>
    </row>
    <row r="179" spans="1:3" ht="12.75" customHeight="1">
      <c r="A179" s="209" t="s">
        <v>246</v>
      </c>
      <c r="B179" s="141" t="str">
        <f>IFERROR(GRP_INS/SAL,"b")</f>
        <v>b</v>
      </c>
      <c r="C179" s="2"/>
    </row>
    <row r="180" spans="1:3" ht="12.75" customHeight="1">
      <c r="A180" s="209" t="s">
        <v>247</v>
      </c>
      <c r="B180" s="141" t="str">
        <f>IFERROR(BENE/SAL,"b")</f>
        <v>b</v>
      </c>
      <c r="C180" s="2"/>
    </row>
    <row r="181" spans="1:3" ht="12.75" customHeight="1">
      <c r="A181" s="209" t="s">
        <v>248</v>
      </c>
      <c r="B181" s="141">
        <f>IFERROR(PT_Pct+Grp_Pct+BENE_Pct,0)</f>
        <v>0</v>
      </c>
      <c r="C181" s="2"/>
    </row>
    <row r="182" spans="1:3" ht="12.75" customHeight="1">
      <c r="A182" s="209" t="s">
        <v>215</v>
      </c>
      <c r="B182" s="105" t="str">
        <f>IF((PA_Out&gt;0),(PA_Out+PA_Inside)*(1+Burden_Pct),"b")</f>
        <v>b</v>
      </c>
      <c r="C182" s="2"/>
    </row>
    <row r="183" spans="1:3" ht="12.75" customHeight="1">
      <c r="A183" s="209" t="s">
        <v>216</v>
      </c>
      <c r="B183" s="198" t="s">
        <v>295</v>
      </c>
      <c r="C183" s="2"/>
    </row>
    <row r="184" spans="1:3" ht="12.75" customHeight="1">
      <c r="A184" s="209" t="s">
        <v>217</v>
      </c>
      <c r="B184" s="9" t="str">
        <f>IF(ISBLANK(PA_SVC),"b",PA_SVC*(1+Burden_Pct))</f>
        <v>b</v>
      </c>
      <c r="C184" s="2"/>
    </row>
    <row r="185" spans="1:3" ht="12.75" customHeight="1">
      <c r="A185" s="209" t="s">
        <v>218</v>
      </c>
      <c r="B185" s="198" t="s">
        <v>295</v>
      </c>
      <c r="C185" s="2"/>
    </row>
    <row r="186" spans="1:3" ht="12.75" customHeight="1">
      <c r="A186" s="209" t="s">
        <v>219</v>
      </c>
      <c r="B186" s="105" t="str">
        <f>IF(((PA_Exec+PA_OTH)&gt;0),(PA_Exec+PA_WHS+PA_OTH)*(1+Burden_Pct),"b")</f>
        <v>b</v>
      </c>
      <c r="C186" s="2"/>
    </row>
    <row r="187" spans="1:3" ht="12.75" customHeight="1">
      <c r="A187" s="209" t="s">
        <v>225</v>
      </c>
      <c r="B187" s="105" t="str">
        <f>IF(ISBLANK(OC_Sales),"b",OC_Sales)</f>
        <v>OC_Sales</v>
      </c>
      <c r="C187" s="2"/>
    </row>
    <row r="188" spans="1:3" ht="12.75" customHeight="1">
      <c r="A188" s="209" t="s">
        <v>229</v>
      </c>
      <c r="B188" s="9" t="str">
        <f>IF(ISBLANK(OC_Parts),"b",OC_Parts)</f>
        <v>OC_Parts</v>
      </c>
      <c r="C188" s="2"/>
    </row>
    <row r="189" spans="1:3" ht="12.75" customHeight="1">
      <c r="A189" s="209" t="s">
        <v>226</v>
      </c>
      <c r="B189" s="9" t="str">
        <f>IF(ISBLANK(OC_SVC),"b",OC_SVC)</f>
        <v>OC_SCV</v>
      </c>
      <c r="C189" s="2"/>
    </row>
    <row r="190" spans="1:3" ht="12.75" customHeight="1">
      <c r="A190" s="209" t="s">
        <v>227</v>
      </c>
      <c r="B190" s="9" t="str">
        <f>IF(ISBLANK(OC_Rental),"b",OC_Rental)</f>
        <v>OC_Rental</v>
      </c>
      <c r="C190" s="2"/>
    </row>
    <row r="191" spans="1:3" ht="12.75" customHeight="1">
      <c r="A191" s="209" t="s">
        <v>228</v>
      </c>
      <c r="B191" s="9" t="str">
        <f>IF((OC_GA&lt;&gt;OC),OC_GA,"b")</f>
        <v>OC_GA</v>
      </c>
      <c r="C191" s="2"/>
    </row>
    <row r="192" spans="1:3" ht="12.75" customHeight="1">
      <c r="A192" s="209" t="s">
        <v>220</v>
      </c>
      <c r="B192" s="105" t="str">
        <f>IF(ISBLANK(OE_Sales),"b",OE_Sales)</f>
        <v>OE_Sales</v>
      </c>
      <c r="C192" s="2"/>
    </row>
    <row r="193" spans="1:3" ht="12.75" customHeight="1">
      <c r="A193" s="209" t="s">
        <v>224</v>
      </c>
      <c r="B193" s="9" t="str">
        <f>IF(ISBLANK(OE_Parts),"b",OE_Parts)</f>
        <v>OE_Parts</v>
      </c>
      <c r="C193" s="2"/>
    </row>
    <row r="194" spans="1:3" ht="12.75" customHeight="1">
      <c r="A194" s="209" t="s">
        <v>221</v>
      </c>
      <c r="B194" s="9" t="str">
        <f>IF(ISBLANK(OE_SVC),"b",OE_SVC)</f>
        <v>OE_SCV</v>
      </c>
      <c r="C194" s="2"/>
    </row>
    <row r="195" spans="1:3" ht="12.75" customHeight="1">
      <c r="A195" s="209" t="s">
        <v>222</v>
      </c>
      <c r="B195" s="9" t="str">
        <f>IF(ISBLANK(OE_Rental),"b",OE_Rental)</f>
        <v>OE_Rental</v>
      </c>
      <c r="C195" s="2"/>
    </row>
    <row r="196" spans="1:3">
      <c r="A196" s="209" t="s">
        <v>223</v>
      </c>
      <c r="B196" s="9" t="str">
        <f>IF((OE_GA&lt;&gt;OE),OE_GA,"b")</f>
        <v>OE_GA</v>
      </c>
      <c r="C196" s="2"/>
    </row>
    <row r="197" spans="1:3">
      <c r="A197" s="208" t="s">
        <v>301</v>
      </c>
      <c r="B197" s="142" t="str">
        <f>IFERROR(IF(NS&gt;0,(NS_New+NS_Used+NS_SH+NS_ES+NS_Counter)*(100-DROP)/100,"B"),"b")</f>
        <v>B</v>
      </c>
    </row>
    <row r="198" spans="1:3">
      <c r="A198" s="208" t="s">
        <v>302</v>
      </c>
      <c r="B198" s="142" t="str">
        <f>IFERROR(IF(COGS&gt;0,(COGS_New+COGS_Used+COGS_SH+COGS_ES+COGS_Counter)*(100-DROP)/100,"B"),"b")</f>
        <v>B</v>
      </c>
    </row>
    <row r="199" spans="1:3">
      <c r="A199" s="208" t="s">
        <v>303</v>
      </c>
      <c r="B199" s="143" t="str">
        <f>IFERROR(WHSNS-WHSCOGS,"B")</f>
        <v>B</v>
      </c>
    </row>
    <row r="200" spans="1:3" ht="13" customHeight="1">
      <c r="A200" s="238" t="s">
        <v>304</v>
      </c>
    </row>
    <row r="201" spans="1:3" ht="13" customHeight="1">
      <c r="A201" s="216" t="s">
        <v>305</v>
      </c>
    </row>
    <row r="202" spans="1:3" ht="15.3">
      <c r="A202" s="239" t="s">
        <v>306</v>
      </c>
      <c r="B202" s="144" t="str">
        <f>IFERROR(IF(AVG&gt;0,AVG+(End-Add/2),"b"),"B")</f>
        <v>B</v>
      </c>
    </row>
    <row r="203" spans="1:3" ht="15.3">
      <c r="A203" s="240" t="s">
        <v>307</v>
      </c>
      <c r="B203" s="144" t="str">
        <f>IFERROR(IF(Inv&gt;0,Inv+End,"b"),"B")</f>
        <v>B</v>
      </c>
    </row>
    <row r="204" spans="1:3" ht="15.3">
      <c r="A204" s="240" t="s">
        <v>308</v>
      </c>
      <c r="B204" s="144" t="str">
        <f>IFERROR(IF(CA&gt;0,CA+End,"b"),"B")</f>
        <v>B</v>
      </c>
    </row>
    <row r="205" spans="1:3" ht="15.3">
      <c r="A205" s="240" t="s">
        <v>309</v>
      </c>
      <c r="B205" s="144" t="str">
        <f>IFERROR(IF(TA&gt;0,TA+End,"b"),"B")</f>
        <v>B</v>
      </c>
    </row>
    <row r="206" spans="1:3" ht="15.3">
      <c r="A206" s="240" t="s">
        <v>310</v>
      </c>
      <c r="B206" s="144" t="str">
        <f>IFERROR(IF(Eqty&lt;&gt;0,Loan+Eqty+End,"b"),"B")</f>
        <v>B</v>
      </c>
    </row>
    <row r="207" spans="1:3" ht="15.3">
      <c r="A207" s="240" t="s">
        <v>311</v>
      </c>
      <c r="B207" s="144" t="str">
        <f>IFERROR(IF(COGS&gt;0,COGS-Add,"b"),"B")</f>
        <v>b</v>
      </c>
    </row>
    <row r="208" spans="1:3" ht="15.3">
      <c r="A208" s="240" t="s">
        <v>312</v>
      </c>
      <c r="B208" s="144" t="str">
        <f>IFERROR(IF(AND(NS&gt;0,COGS&gt;0),GP+Add,"b"),"B")</f>
        <v>b</v>
      </c>
    </row>
    <row r="209" spans="1:2" ht="15.3">
      <c r="A209" s="240" t="s">
        <v>313</v>
      </c>
      <c r="B209" s="144" t="str">
        <f>IFERROR(IF(AND(GP&lt;&gt;0,TE&gt;0),OP+Add,"b"),"B")</f>
        <v>b</v>
      </c>
    </row>
    <row r="210" spans="1:2" ht="15.3">
      <c r="A210" s="240" t="s">
        <v>314</v>
      </c>
      <c r="B210" s="144" t="str">
        <f>IFERROR(IF(PBT&gt;0,PBT+Add,"b"),"B")</f>
        <v>b</v>
      </c>
    </row>
    <row r="211" spans="1:2" ht="15.3">
      <c r="A211" s="240" t="s">
        <v>315</v>
      </c>
      <c r="B211" s="145" t="str">
        <f>IFERROR(IF(ISBLANK(Tax),"b",(Net+Add)),"B")</f>
        <v>b</v>
      </c>
    </row>
    <row r="212" spans="1:2">
      <c r="A212" s="255" t="s">
        <v>521</v>
      </c>
      <c r="B212" s="201">
        <v>0</v>
      </c>
    </row>
    <row r="213" spans="1:2">
      <c r="A213" s="256" t="s">
        <v>522</v>
      </c>
      <c r="B213" s="200">
        <v>0</v>
      </c>
    </row>
    <row r="214" spans="1:2">
      <c r="A214" s="232" t="s">
        <v>316</v>
      </c>
      <c r="B214" s="146" t="str">
        <f>IFERROR((NS-Prev)/Prev,"B")</f>
        <v>B</v>
      </c>
    </row>
    <row r="215" spans="1:2">
      <c r="A215" s="209" t="s">
        <v>317</v>
      </c>
      <c r="B215" s="147" t="str">
        <f>IFERROR(PBT_2/NS,"B")</f>
        <v>B</v>
      </c>
    </row>
    <row r="216" spans="1:2">
      <c r="A216" s="209" t="s">
        <v>318</v>
      </c>
      <c r="B216" s="148" t="str">
        <f>IFERROR(NS/TA_2,"B")</f>
        <v>B</v>
      </c>
    </row>
    <row r="217" spans="1:2">
      <c r="A217" s="209" t="s">
        <v>319</v>
      </c>
      <c r="B217" s="149" t="str">
        <f>IFERROR(PBT_2/TA_2,"B")</f>
        <v>B</v>
      </c>
    </row>
    <row r="218" spans="1:2">
      <c r="A218" s="209" t="s">
        <v>320</v>
      </c>
      <c r="B218" s="148" t="str">
        <f>IFERROR(TA_2/NW_2,"B")</f>
        <v>B</v>
      </c>
    </row>
    <row r="219" spans="1:2">
      <c r="A219" s="209" t="s">
        <v>321</v>
      </c>
      <c r="B219" s="149" t="str">
        <f>IFERROR(PBT_2/NW_2,"B")</f>
        <v>B</v>
      </c>
    </row>
    <row r="220" spans="1:2">
      <c r="A220" s="209"/>
    </row>
    <row r="221" spans="1:2">
      <c r="A221" s="210" t="s">
        <v>322</v>
      </c>
      <c r="B221" s="148" t="str">
        <f>IFERROR(CA_2/CL,"B")</f>
        <v>B</v>
      </c>
    </row>
    <row r="222" spans="1:2">
      <c r="A222" s="210" t="s">
        <v>323</v>
      </c>
      <c r="B222" s="150" t="str">
        <f>IFERROR((Cash+AR)/CL,"B")</f>
        <v>B</v>
      </c>
    </row>
    <row r="223" spans="1:2">
      <c r="A223" s="210" t="s">
        <v>324</v>
      </c>
      <c r="B223" s="146" t="str">
        <f>IFERROR(Cash/CL,"B")</f>
        <v>B</v>
      </c>
    </row>
    <row r="224" spans="1:2">
      <c r="A224" s="210" t="s">
        <v>325</v>
      </c>
      <c r="B224" s="151" t="str">
        <f>IFERROR(AP/INV_2,"B")</f>
        <v>B</v>
      </c>
    </row>
    <row r="225" spans="1:2">
      <c r="A225" s="241" t="s">
        <v>326</v>
      </c>
      <c r="B225" s="152" t="str">
        <f>IFERROR(((AAP)/(COGS_2/365)),"B")</f>
        <v>B</v>
      </c>
    </row>
    <row r="226" spans="1:2">
      <c r="A226" s="210" t="s">
        <v>327</v>
      </c>
      <c r="B226" s="153" t="str">
        <f>IFERROR((TA_2-NW_2)/NW_2,"B")</f>
        <v>B</v>
      </c>
    </row>
    <row r="227" spans="1:2">
      <c r="A227" s="210" t="s">
        <v>328</v>
      </c>
      <c r="B227" s="149" t="str">
        <f>IFERROR((PBT_2+Int)/NS,"B")</f>
        <v>B</v>
      </c>
    </row>
    <row r="228" spans="1:2">
      <c r="A228" s="241" t="s">
        <v>329</v>
      </c>
      <c r="B228" s="149" t="str">
        <f>IFERROR((PBT_2+Int)/TA_2,"B")</f>
        <v>B</v>
      </c>
    </row>
    <row r="229" spans="1:2">
      <c r="A229" s="210" t="s">
        <v>330</v>
      </c>
      <c r="B229" s="153" t="str">
        <f>IFERROR((PBT_2+Int)/Int,"B")</f>
        <v>B</v>
      </c>
    </row>
    <row r="230" spans="1:2">
      <c r="A230" s="209"/>
    </row>
    <row r="231" spans="1:2">
      <c r="A231" s="210" t="s">
        <v>331</v>
      </c>
      <c r="B231" s="154" t="str">
        <f>IFERROR((AAR/((NS*(100-CSH)/100)/365)),"B")</f>
        <v>B</v>
      </c>
    </row>
    <row r="232" spans="1:2">
      <c r="A232" s="210" t="s">
        <v>332</v>
      </c>
      <c r="B232" s="152" t="str">
        <f>IFERROR(WHSCOGS/AVG_2,"B")</f>
        <v>B</v>
      </c>
    </row>
    <row r="233" spans="1:2">
      <c r="A233" s="210" t="s">
        <v>333</v>
      </c>
      <c r="B233" s="153" t="str">
        <f>IFERROR(365/(WHSCOGS/AVG_2),"B")</f>
        <v>B</v>
      </c>
    </row>
    <row r="234" spans="1:2">
      <c r="A234" s="210" t="s">
        <v>334</v>
      </c>
      <c r="B234" s="152" t="str">
        <f>IFERROR(WHSNS/AVG_2,"B")</f>
        <v>B</v>
      </c>
    </row>
    <row r="235" spans="1:2">
      <c r="A235" s="241" t="s">
        <v>335</v>
      </c>
      <c r="B235" s="155" t="str">
        <f>IFERROR((WHSGP)/AVG_2,"B")</f>
        <v>B</v>
      </c>
    </row>
    <row r="236" spans="1:2">
      <c r="A236" s="210" t="s">
        <v>336</v>
      </c>
      <c r="B236" s="156" t="str">
        <f>IFERROR(NS/OFA,"B")</f>
        <v>B</v>
      </c>
    </row>
    <row r="237" spans="1:2">
      <c r="A237" s="209"/>
    </row>
    <row r="238" spans="1:2">
      <c r="A238" s="210" t="s">
        <v>337</v>
      </c>
      <c r="B238" s="147" t="str">
        <f>IFERROR(IF(Net&lt;&gt;"b",Net/(AAR+AVG_2-AAP),PBT/(AAR+AVG_2-AAP)),"B")</f>
        <v>B</v>
      </c>
    </row>
    <row r="239" spans="1:2">
      <c r="A239" s="210" t="s">
        <v>338</v>
      </c>
      <c r="B239" s="157" t="str">
        <f>IFERROR(Cash/CL,"B")</f>
        <v>B</v>
      </c>
    </row>
    <row r="240" spans="1:2">
      <c r="A240" s="210" t="s">
        <v>339</v>
      </c>
      <c r="B240" s="148" t="str">
        <f>IFERROR(Cash/((TE-DPR)/365),"B")</f>
        <v>B</v>
      </c>
    </row>
    <row r="241" spans="1:2">
      <c r="A241" s="210" t="s">
        <v>340</v>
      </c>
      <c r="B241" s="154" t="str">
        <f>IFERROR(NS/(CA_2-CL),"B")</f>
        <v>B</v>
      </c>
    </row>
    <row r="243" spans="1:2">
      <c r="A243" s="217" t="s">
        <v>341</v>
      </c>
    </row>
    <row r="244" spans="1:2">
      <c r="A244" s="210" t="s">
        <v>342</v>
      </c>
    </row>
    <row r="245" spans="1:2">
      <c r="A245" s="242" t="s">
        <v>343</v>
      </c>
      <c r="B245" s="158" t="str">
        <f>IFERROR(NS/Emp,"B")</f>
        <v>B</v>
      </c>
    </row>
    <row r="246" spans="1:2">
      <c r="A246" s="242" t="s">
        <v>344</v>
      </c>
      <c r="B246" s="145" t="str">
        <f>IFERROR(GP_2/Emp,"B")</f>
        <v>B</v>
      </c>
    </row>
    <row r="247" spans="1:2">
      <c r="A247" s="210" t="s">
        <v>345</v>
      </c>
      <c r="B247" s="142" t="str">
        <f>IFERROR((SAL+PA_Tech)/Emp,"B")</f>
        <v>B</v>
      </c>
    </row>
    <row r="248" spans="1:2">
      <c r="A248" s="210" t="s">
        <v>346</v>
      </c>
      <c r="B248" s="142" t="str">
        <f>IFERROR((PA+PA_Tech)/Emp,"B")</f>
        <v>B</v>
      </c>
    </row>
    <row r="249" spans="1:2">
      <c r="A249" s="210" t="s">
        <v>347</v>
      </c>
      <c r="B249" s="157" t="str">
        <f>IFERROR(PA/NS,"B")</f>
        <v>B</v>
      </c>
    </row>
    <row r="250" spans="1:2">
      <c r="A250" s="210" t="s">
        <v>348</v>
      </c>
      <c r="B250" s="159" t="str">
        <f>IFERROR(IF(PA&lt;&gt;"b",(PA/GP*100),"B"),"B")</f>
        <v>B</v>
      </c>
    </row>
    <row r="251" spans="1:2">
      <c r="A251" s="218" t="s">
        <v>241</v>
      </c>
    </row>
    <row r="252" spans="1:2">
      <c r="A252" s="208" t="s">
        <v>94</v>
      </c>
      <c r="B252" s="148" t="str">
        <f>IFERROR(NS/NS*100,"B")</f>
        <v>B</v>
      </c>
    </row>
    <row r="253" spans="1:2">
      <c r="A253" s="243" t="s">
        <v>98</v>
      </c>
      <c r="B253" s="160" t="str">
        <f>IFERROR(Equip/NS*100,"B")</f>
        <v>B</v>
      </c>
    </row>
    <row r="254" spans="1:2">
      <c r="A254" s="243" t="s">
        <v>180</v>
      </c>
      <c r="B254" s="160" t="str">
        <f>IFERROR(TechWages/NS*100,"B")</f>
        <v>B</v>
      </c>
    </row>
    <row r="255" spans="1:2">
      <c r="A255" s="243" t="s">
        <v>181</v>
      </c>
      <c r="B255" s="160" t="str">
        <f>IFERROR(RentalCost/NS*100,"B")</f>
        <v>B</v>
      </c>
    </row>
    <row r="256" spans="1:2">
      <c r="A256" s="243" t="s">
        <v>182</v>
      </c>
      <c r="B256" s="160" t="str">
        <f>IFERROR(OCOGS/NS*100,"B")</f>
        <v>B</v>
      </c>
    </row>
    <row r="257" spans="1:2">
      <c r="A257" s="234" t="s">
        <v>101</v>
      </c>
      <c r="B257" s="161" t="str">
        <f>IFERROR(COGS_2/NS*100,"B")</f>
        <v>B</v>
      </c>
    </row>
    <row r="258" spans="1:2">
      <c r="A258" s="234" t="s">
        <v>102</v>
      </c>
      <c r="B258" s="161" t="str">
        <f>IFERROR(GP_2/NS*100,"B")</f>
        <v>B</v>
      </c>
    </row>
    <row r="259" spans="1:2">
      <c r="A259" s="244" t="s">
        <v>275</v>
      </c>
      <c r="B259" s="153" t="str">
        <f>IFERROR(PA_Exec/NS*100,"B")</f>
        <v>B</v>
      </c>
    </row>
    <row r="260" spans="1:2">
      <c r="A260" s="244" t="s">
        <v>349</v>
      </c>
      <c r="B260" s="154" t="str">
        <f>IFERROR(PA_Out/NS*100,"B")</f>
        <v>B</v>
      </c>
    </row>
    <row r="261" spans="1:2">
      <c r="A261" s="244" t="s">
        <v>277</v>
      </c>
      <c r="B261" s="154" t="str">
        <f>IFERROR(PA_Inside/NS*100,"B")</f>
        <v>B</v>
      </c>
    </row>
    <row r="262" spans="1:2">
      <c r="A262" s="209" t="s">
        <v>218</v>
      </c>
      <c r="B262" s="148" t="str">
        <f>IFERROR(PA_Rental/NS*100,"B")</f>
        <v>B</v>
      </c>
    </row>
    <row r="263" spans="1:2">
      <c r="A263" s="209" t="s">
        <v>216</v>
      </c>
      <c r="B263" s="148" t="str">
        <f>IFERROR(PA_Parts/NS*100,"B")</f>
        <v>B</v>
      </c>
    </row>
    <row r="264" spans="1:2">
      <c r="A264" s="209" t="s">
        <v>237</v>
      </c>
      <c r="B264" s="148" t="str">
        <f>IFERROR(PA_SVC/NS*100,"B")</f>
        <v>B</v>
      </c>
    </row>
    <row r="265" spans="1:2">
      <c r="A265" s="213" t="s">
        <v>261</v>
      </c>
      <c r="B265" s="154" t="str">
        <f>IFERROR(PA_WHS/NS*100,"B")</f>
        <v>B</v>
      </c>
    </row>
    <row r="266" spans="1:2">
      <c r="A266" s="213" t="s">
        <v>300</v>
      </c>
      <c r="B266" s="161" t="str">
        <f>IFERROR(PA_Adjust/NS*100,"B")</f>
        <v>B</v>
      </c>
    </row>
    <row r="267" spans="1:2">
      <c r="A267" s="212" t="s">
        <v>256</v>
      </c>
      <c r="B267" s="162" t="str">
        <f>IFERROR(PA_PM/NS*100,"B")</f>
        <v>B</v>
      </c>
    </row>
    <row r="268" spans="1:2">
      <c r="A268" s="212" t="s">
        <v>236</v>
      </c>
      <c r="B268" s="162" t="str">
        <f>IFERROR(PA_Tech/NS*100,"B")</f>
        <v>B</v>
      </c>
    </row>
    <row r="269" spans="1:2">
      <c r="A269" s="211"/>
    </row>
    <row r="270" spans="1:2">
      <c r="A270" s="211"/>
    </row>
    <row r="271" spans="1:2">
      <c r="A271" s="232" t="s">
        <v>183</v>
      </c>
      <c r="B271" s="153" t="str">
        <f>IFERROR(SAL/NS*100,"B")</f>
        <v>B</v>
      </c>
    </row>
    <row r="272" spans="1:2">
      <c r="A272" s="232" t="s">
        <v>184</v>
      </c>
      <c r="B272" s="154" t="str">
        <f>IFERROR(PT/NS*100,"B")</f>
        <v>B</v>
      </c>
    </row>
    <row r="273" spans="1:2">
      <c r="A273" s="232" t="s">
        <v>186</v>
      </c>
      <c r="B273" s="154" t="str">
        <f>IFERROR(GRP_INS/NS*100,"B")</f>
        <v>B</v>
      </c>
    </row>
    <row r="274" spans="1:2">
      <c r="A274" s="232" t="s">
        <v>185</v>
      </c>
      <c r="B274" s="154" t="str">
        <f>IFERROR(BENE/NS*100,"B")</f>
        <v>B</v>
      </c>
    </row>
    <row r="275" spans="1:2">
      <c r="A275" s="232" t="s">
        <v>105</v>
      </c>
      <c r="B275" s="154" t="str">
        <f>IFERROR(PA/NS*100,"B")</f>
        <v>B</v>
      </c>
    </row>
    <row r="276" spans="1:2">
      <c r="A276" s="209" t="s">
        <v>96</v>
      </c>
      <c r="B276" s="153" t="str">
        <f>IFERROR(UT/NS*100,"B")</f>
        <v>B</v>
      </c>
    </row>
    <row r="277" spans="1:2">
      <c r="A277" s="245" t="s">
        <v>249</v>
      </c>
      <c r="B277" s="154" t="str">
        <f>IFERROR(Tele/NS*100,"B")</f>
        <v>B</v>
      </c>
    </row>
    <row r="278" spans="1:2">
      <c r="A278" s="209" t="s">
        <v>95</v>
      </c>
      <c r="B278" s="154" t="str">
        <f>IFERROR(RM/NS*100,"B")</f>
        <v>B</v>
      </c>
    </row>
    <row r="279" spans="1:2">
      <c r="A279" s="209" t="s">
        <v>97</v>
      </c>
      <c r="B279" s="154" t="str">
        <f>IFERROR(Rent/NS*100,"B")</f>
        <v>B</v>
      </c>
    </row>
    <row r="280" spans="1:2">
      <c r="A280" s="232" t="s">
        <v>187</v>
      </c>
      <c r="B280" s="154" t="str">
        <f>IFERROR(OC/NS*100,"B")</f>
        <v>B</v>
      </c>
    </row>
    <row r="281" spans="1:2">
      <c r="A281" s="209" t="s">
        <v>188</v>
      </c>
      <c r="B281" s="154" t="str">
        <f>IFERROR(VEH/NS*100,"B")</f>
        <v>B</v>
      </c>
    </row>
    <row r="282" spans="1:2">
      <c r="A282" s="209" t="s">
        <v>99</v>
      </c>
      <c r="B282" s="153" t="str">
        <f>IFERROR(Ins/NS*100,"B")</f>
        <v>B</v>
      </c>
    </row>
    <row r="283" spans="1:2">
      <c r="A283" s="209" t="s">
        <v>100</v>
      </c>
      <c r="B283" s="154" t="str">
        <f>IFERROR(DPR/NS*100,"B")</f>
        <v>B</v>
      </c>
    </row>
    <row r="284" spans="1:2">
      <c r="A284" s="209" t="s">
        <v>189</v>
      </c>
      <c r="B284" s="154" t="str">
        <f>IFERROR(TRN/NS*100,"B")</f>
        <v>B</v>
      </c>
    </row>
    <row r="285" spans="1:2">
      <c r="A285" s="209" t="s">
        <v>190</v>
      </c>
      <c r="B285" s="154" t="str">
        <f>IFERROR(MIS/NS*100,"B")</f>
        <v>B</v>
      </c>
    </row>
    <row r="286" spans="1:2">
      <c r="A286" s="209" t="s">
        <v>106</v>
      </c>
      <c r="B286" s="154" t="str">
        <f>IFERROR(AD/NS*100,"B")</f>
        <v>B</v>
      </c>
    </row>
    <row r="287" spans="1:2">
      <c r="A287" s="211"/>
    </row>
    <row r="288" spans="1:2">
      <c r="A288" s="211"/>
    </row>
    <row r="289" spans="1:2">
      <c r="A289" s="211"/>
    </row>
    <row r="290" spans="1:2">
      <c r="A290" s="209" t="s">
        <v>107</v>
      </c>
      <c r="B290" s="154" t="str">
        <f>IFERROR(OE/NS*100,"B")</f>
        <v>B</v>
      </c>
    </row>
    <row r="291" spans="1:2">
      <c r="A291" s="232" t="s">
        <v>108</v>
      </c>
      <c r="B291" s="154" t="str">
        <f>IFERROR(TOE/NS*100,"B")</f>
        <v>B</v>
      </c>
    </row>
    <row r="292" spans="1:2">
      <c r="A292" s="234" t="s">
        <v>109</v>
      </c>
      <c r="B292" s="154" t="str">
        <f>IFERROR(TE/NS*100,"B")</f>
        <v>B</v>
      </c>
    </row>
    <row r="293" spans="1:2">
      <c r="A293" s="234" t="s">
        <v>110</v>
      </c>
      <c r="B293" s="161" t="str">
        <f>IFERROR(OP_2/NS*100,"B")</f>
        <v>B</v>
      </c>
    </row>
    <row r="294" spans="1:2">
      <c r="A294" s="232" t="s">
        <v>111</v>
      </c>
      <c r="B294" s="154" t="str">
        <f>IFERROR(OI/NS*100,"B")</f>
        <v>B</v>
      </c>
    </row>
    <row r="295" spans="1:2">
      <c r="A295" s="232" t="s">
        <v>112</v>
      </c>
      <c r="B295" s="154" t="str">
        <f>IFERROR(Int/NS*100,"B")</f>
        <v>B</v>
      </c>
    </row>
    <row r="296" spans="1:2">
      <c r="A296" s="232" t="s">
        <v>113</v>
      </c>
      <c r="B296" s="154" t="str">
        <f>IFERROR(Oex/NS*100,"B")</f>
        <v>B</v>
      </c>
    </row>
    <row r="297" spans="1:2">
      <c r="A297" s="214" t="s">
        <v>291</v>
      </c>
    </row>
    <row r="298" spans="1:2">
      <c r="A298" s="215" t="s">
        <v>292</v>
      </c>
    </row>
    <row r="299" spans="1:2">
      <c r="A299" s="215" t="s">
        <v>293</v>
      </c>
    </row>
    <row r="300" spans="1:2">
      <c r="A300" s="234" t="s">
        <v>114</v>
      </c>
      <c r="B300" s="161" t="str">
        <f>IFERROR(PBT_2/NS*100,"B")</f>
        <v>B</v>
      </c>
    </row>
    <row r="301" spans="1:2">
      <c r="A301" s="219" t="s">
        <v>350</v>
      </c>
    </row>
    <row r="302" spans="1:2">
      <c r="A302" s="209" t="s">
        <v>103</v>
      </c>
      <c r="B302" s="153" t="str">
        <f>IFERROR(PA_Exec/GP_2*100,"B")</f>
        <v>B</v>
      </c>
    </row>
    <row r="303" spans="1:2">
      <c r="A303" s="209" t="s">
        <v>104</v>
      </c>
      <c r="B303" s="154" t="str">
        <f>IFERROR(PA_Out/GP_2*100,"B")</f>
        <v>B</v>
      </c>
    </row>
    <row r="304" spans="1:2">
      <c r="A304" s="209" t="s">
        <v>235</v>
      </c>
      <c r="B304" s="154" t="str">
        <f>IFERROR(PA_Inside/GP_2*100,"B")</f>
        <v>B</v>
      </c>
    </row>
    <row r="305" spans="1:2">
      <c r="A305" s="209" t="s">
        <v>218</v>
      </c>
      <c r="B305" s="148" t="str">
        <f>IFERROR(PA_Rental/GP_2*100,"B")</f>
        <v>B</v>
      </c>
    </row>
    <row r="306" spans="1:2">
      <c r="A306" s="209" t="s">
        <v>216</v>
      </c>
      <c r="B306" s="148" t="str">
        <f>IFERROR(PA_Parts/GP_2*100,"B")</f>
        <v>B</v>
      </c>
    </row>
    <row r="307" spans="1:2">
      <c r="A307" s="209" t="s">
        <v>237</v>
      </c>
      <c r="B307" s="148" t="str">
        <f>IFERROR(PA_SVC/GP_2*100,"B")</f>
        <v>B</v>
      </c>
    </row>
    <row r="308" spans="1:2">
      <c r="A308" s="209" t="s">
        <v>261</v>
      </c>
      <c r="B308" s="154" t="str">
        <f>IFERROR(PA_WHS/GP_2*100,"B")</f>
        <v>B</v>
      </c>
    </row>
    <row r="309" spans="1:2">
      <c r="A309" s="209" t="s">
        <v>219</v>
      </c>
      <c r="B309" s="148" t="str">
        <f>IFERROR(PA_Adjust/GP_2*100,"B")</f>
        <v>B</v>
      </c>
    </row>
    <row r="310" spans="1:2">
      <c r="A310" s="212" t="s">
        <v>256</v>
      </c>
      <c r="B310" s="162" t="str">
        <f>IFERROR(PA_PM/GP_2*100,"B")</f>
        <v>B</v>
      </c>
    </row>
    <row r="311" spans="1:2">
      <c r="A311" s="212" t="s">
        <v>236</v>
      </c>
      <c r="B311" s="162" t="str">
        <f>IFERROR(PA_Tech/GP_2*100,"B")</f>
        <v>B</v>
      </c>
    </row>
    <row r="312" spans="1:2">
      <c r="A312" s="211"/>
    </row>
    <row r="313" spans="1:2">
      <c r="A313" s="211"/>
    </row>
    <row r="314" spans="1:2">
      <c r="A314" s="232" t="s">
        <v>183</v>
      </c>
      <c r="B314" s="153" t="str">
        <f>IFERROR(SAL/GP_2*100,"B")</f>
        <v>B</v>
      </c>
    </row>
    <row r="315" spans="1:2">
      <c r="A315" s="232" t="s">
        <v>184</v>
      </c>
      <c r="B315" s="154" t="str">
        <f>IFERROR(PT/GP_2*100,"B")</f>
        <v>B</v>
      </c>
    </row>
    <row r="316" spans="1:2">
      <c r="A316" s="232" t="s">
        <v>186</v>
      </c>
      <c r="B316" s="154" t="str">
        <f>IFERROR(GRP_INS/GP_2*100,"B")</f>
        <v>B</v>
      </c>
    </row>
    <row r="317" spans="1:2">
      <c r="A317" s="232" t="s">
        <v>185</v>
      </c>
      <c r="B317" s="154" t="str">
        <f>IFERROR(BENE/GP_2*100,"B")</f>
        <v>B</v>
      </c>
    </row>
    <row r="318" spans="1:2">
      <c r="A318" s="232" t="s">
        <v>105</v>
      </c>
      <c r="B318" s="154" t="str">
        <f>IFERROR(PA/GP_2*100,"B")</f>
        <v>B</v>
      </c>
    </row>
    <row r="319" spans="1:2">
      <c r="A319" s="209" t="s">
        <v>96</v>
      </c>
      <c r="B319" s="153" t="str">
        <f>IFERROR(UT/GP_2*100,"B")</f>
        <v>B</v>
      </c>
    </row>
    <row r="320" spans="1:2">
      <c r="A320" s="245" t="s">
        <v>249</v>
      </c>
      <c r="B320" s="154" t="str">
        <f>IFERROR(Tele/GP_2*100,"B")</f>
        <v>B</v>
      </c>
    </row>
    <row r="321" spans="1:2">
      <c r="A321" s="209" t="s">
        <v>95</v>
      </c>
      <c r="B321" s="154" t="str">
        <f>IFERROR(RM/GP_2*100,"B")</f>
        <v>B</v>
      </c>
    </row>
    <row r="322" spans="1:2">
      <c r="A322" s="209" t="s">
        <v>97</v>
      </c>
      <c r="B322" s="154" t="str">
        <f>IFERROR(Rent/GP_2*100,"B")</f>
        <v>B</v>
      </c>
    </row>
    <row r="323" spans="1:2">
      <c r="A323" s="232" t="s">
        <v>187</v>
      </c>
      <c r="B323" s="154" t="str">
        <f>IFERROR(OC/GP_2*100,"B")</f>
        <v>B</v>
      </c>
    </row>
    <row r="324" spans="1:2">
      <c r="A324" s="209" t="s">
        <v>188</v>
      </c>
      <c r="B324" s="154" t="str">
        <f>IFERROR(VEH/GP_2*100,"B")</f>
        <v>B</v>
      </c>
    </row>
    <row r="325" spans="1:2">
      <c r="A325" s="209" t="s">
        <v>99</v>
      </c>
      <c r="B325" s="153" t="str">
        <f>IFERROR(Ins/GP_2*100,"B")</f>
        <v>B</v>
      </c>
    </row>
    <row r="326" spans="1:2">
      <c r="A326" s="209" t="s">
        <v>100</v>
      </c>
      <c r="B326" s="154" t="str">
        <f>IFERROR(DPR/GP_2*100,"B")</f>
        <v>B</v>
      </c>
    </row>
    <row r="327" spans="1:2">
      <c r="A327" s="209" t="s">
        <v>189</v>
      </c>
      <c r="B327" s="154" t="str">
        <f>IFERROR(TRN/GP_2*100,"B")</f>
        <v>B</v>
      </c>
    </row>
    <row r="328" spans="1:2">
      <c r="A328" s="209" t="s">
        <v>190</v>
      </c>
      <c r="B328" s="154" t="str">
        <f>IFERROR(MIS/GP_2*100,"B")</f>
        <v>B</v>
      </c>
    </row>
    <row r="329" spans="1:2">
      <c r="A329" s="209" t="s">
        <v>106</v>
      </c>
      <c r="B329" s="154" t="str">
        <f>IFERROR(AD/GP_2*100,"B")</f>
        <v>B</v>
      </c>
    </row>
    <row r="330" spans="1:2">
      <c r="A330" s="211"/>
    </row>
    <row r="331" spans="1:2">
      <c r="A331" s="211"/>
    </row>
    <row r="332" spans="1:2">
      <c r="A332" s="211"/>
    </row>
    <row r="333" spans="1:2">
      <c r="A333" s="209" t="s">
        <v>107</v>
      </c>
      <c r="B333" s="154" t="str">
        <f>IFERROR(OE/GP_2*100,"B")</f>
        <v>B</v>
      </c>
    </row>
    <row r="334" spans="1:2">
      <c r="A334" s="232" t="s">
        <v>108</v>
      </c>
      <c r="B334" s="154" t="str">
        <f>IFERROR(TOE/GP_2*100,"B")</f>
        <v>B</v>
      </c>
    </row>
    <row r="335" spans="1:2">
      <c r="A335" s="234" t="s">
        <v>109</v>
      </c>
      <c r="B335" s="154" t="str">
        <f>IFERROR(TE/GP_2*100,"B")</f>
        <v>B</v>
      </c>
    </row>
    <row r="336" spans="1:2">
      <c r="A336" s="234" t="s">
        <v>110</v>
      </c>
      <c r="B336" s="154" t="str">
        <f>IFERROR(OP_2/GP_2*100,"B")</f>
        <v>B</v>
      </c>
    </row>
    <row r="337" spans="1:2">
      <c r="A337" s="232" t="s">
        <v>111</v>
      </c>
      <c r="B337" s="154" t="str">
        <f>IFERROR(OI/GP_2*100,"B")</f>
        <v>B</v>
      </c>
    </row>
    <row r="338" spans="1:2">
      <c r="A338" s="232" t="s">
        <v>112</v>
      </c>
      <c r="B338" s="154" t="str">
        <f>IFERROR(Int/GP_2*100,"B")</f>
        <v>B</v>
      </c>
    </row>
    <row r="339" spans="1:2">
      <c r="A339" s="232" t="s">
        <v>113</v>
      </c>
      <c r="B339" s="154" t="str">
        <f>IFERROR(Oex/GP_2*100,"B")</f>
        <v>B</v>
      </c>
    </row>
    <row r="340" spans="1:2">
      <c r="A340" s="214" t="s">
        <v>291</v>
      </c>
    </row>
    <row r="341" spans="1:2">
      <c r="A341" s="215" t="s">
        <v>292</v>
      </c>
    </row>
    <row r="342" spans="1:2">
      <c r="A342" s="215" t="s">
        <v>293</v>
      </c>
    </row>
    <row r="343" spans="1:2">
      <c r="A343" s="234" t="s">
        <v>114</v>
      </c>
      <c r="B343" s="154" t="str">
        <f>IFERROR(PBT_2/GP_2*100,"B")</f>
        <v>B</v>
      </c>
    </row>
    <row r="344" spans="1:2">
      <c r="A344" s="219" t="s">
        <v>240</v>
      </c>
    </row>
    <row r="345" spans="1:2">
      <c r="A345" s="209" t="s">
        <v>80</v>
      </c>
      <c r="B345" s="153" t="str">
        <f>IFERROR(Cash/TA_2*100,"B")</f>
        <v>B</v>
      </c>
    </row>
    <row r="346" spans="1:2">
      <c r="A346" s="209" t="s">
        <v>81</v>
      </c>
      <c r="B346" s="153" t="str">
        <f>IFERROR(AR/TA_2*100,"B")</f>
        <v>B</v>
      </c>
    </row>
    <row r="347" spans="1:2">
      <c r="A347" s="209" t="s">
        <v>176</v>
      </c>
      <c r="B347" s="153" t="str">
        <f>IFERROR(NEWINV/TA_2*100,"B")</f>
        <v>B</v>
      </c>
    </row>
    <row r="348" spans="1:2">
      <c r="A348" s="209" t="s">
        <v>177</v>
      </c>
      <c r="B348" s="153" t="str">
        <f>IFERROR(USEDINV/TA_2*100,"B")</f>
        <v>B</v>
      </c>
    </row>
    <row r="349" spans="1:2">
      <c r="A349" s="243" t="s">
        <v>351</v>
      </c>
      <c r="B349" s="198" t="s">
        <v>295</v>
      </c>
    </row>
    <row r="350" spans="1:2">
      <c r="A350" s="209" t="s">
        <v>178</v>
      </c>
      <c r="B350" s="153" t="str">
        <f>IFERROR(PARTSINV/TA_2*100,"B")</f>
        <v>B</v>
      </c>
    </row>
    <row r="351" spans="1:2">
      <c r="A351" s="209" t="s">
        <v>179</v>
      </c>
      <c r="B351" s="153" t="str">
        <f>IFERROR(OINV/TA_2*100,"B")</f>
        <v>B</v>
      </c>
    </row>
    <row r="352" spans="1:2">
      <c r="A352" s="209" t="s">
        <v>82</v>
      </c>
      <c r="B352" s="153" t="str">
        <f>IFERROR(INV_2/TA_2*100,"B")</f>
        <v>B</v>
      </c>
    </row>
    <row r="353" spans="1:2">
      <c r="A353" s="209" t="s">
        <v>83</v>
      </c>
      <c r="B353" s="153" t="str">
        <f>IFERROR(Oca/TA_2*100,"B")</f>
        <v>B</v>
      </c>
    </row>
    <row r="354" spans="1:2">
      <c r="A354" s="208" t="s">
        <v>79</v>
      </c>
      <c r="B354" s="153" t="str">
        <f>IFERROR(CA_2/TA_2*100,"B")</f>
        <v>B</v>
      </c>
    </row>
    <row r="355" spans="1:2">
      <c r="A355" s="243" t="s">
        <v>84</v>
      </c>
      <c r="B355" s="153" t="str">
        <f>IFERROR(IF(Fixed&lt;&gt;0,Fixed/TA_2*100,"B"),"b")</f>
        <v>b</v>
      </c>
    </row>
    <row r="356" spans="1:2">
      <c r="A356" s="209" t="s">
        <v>85</v>
      </c>
      <c r="B356" s="153" t="str">
        <f>IFERROR(OFA/TA_2*100,"B")</f>
        <v>B</v>
      </c>
    </row>
    <row r="357" spans="1:2">
      <c r="A357" s="208" t="s">
        <v>78</v>
      </c>
      <c r="B357" s="153" t="str">
        <f>IFERROR(TA_2/TA_2*100,"B")</f>
        <v>B</v>
      </c>
    </row>
    <row r="358" spans="1:2">
      <c r="A358" s="209" t="s">
        <v>87</v>
      </c>
      <c r="B358" s="153" t="str">
        <f>IFERROR(AP/TA_2*100,"B")</f>
        <v>B</v>
      </c>
    </row>
    <row r="359" spans="1:2">
      <c r="A359" s="209" t="s">
        <v>88</v>
      </c>
      <c r="B359" s="153" t="str">
        <f>IFERROR(NP/TA_2*100,"B")</f>
        <v>B</v>
      </c>
    </row>
    <row r="360" spans="1:2">
      <c r="A360" s="209" t="s">
        <v>89</v>
      </c>
      <c r="B360" s="153" t="str">
        <f>IFERROR(Ocl/TA_2*100,"B")</f>
        <v>B</v>
      </c>
    </row>
    <row r="361" spans="1:2">
      <c r="A361" s="208" t="s">
        <v>86</v>
      </c>
      <c r="B361" s="153" t="str">
        <f>IFERROR(CL/TA_2*100,"B")</f>
        <v>B</v>
      </c>
    </row>
    <row r="362" spans="1:2">
      <c r="A362" s="209" t="s">
        <v>90</v>
      </c>
      <c r="B362" s="153" t="str">
        <f>IFERROR(LTL/TA_2*100,"B")</f>
        <v>B</v>
      </c>
    </row>
    <row r="363" spans="1:2">
      <c r="A363" s="209" t="s">
        <v>91</v>
      </c>
      <c r="B363" s="163" t="str">
        <f>IFERROR(Loan/TA_2*100,"B")</f>
        <v>B</v>
      </c>
    </row>
    <row r="364" spans="1:2">
      <c r="A364" s="209" t="s">
        <v>92</v>
      </c>
      <c r="B364" s="163" t="str">
        <f>IFERROR(Eqty/TA_2*100,"B")</f>
        <v>B</v>
      </c>
    </row>
    <row r="365" spans="1:2">
      <c r="A365" s="208" t="s">
        <v>93</v>
      </c>
      <c r="B365" s="153" t="str">
        <f>B357</f>
        <v>B</v>
      </c>
    </row>
    <row r="366" spans="1:2">
      <c r="A366" s="208"/>
    </row>
    <row r="368" spans="1:2">
      <c r="A368" s="217" t="s">
        <v>352</v>
      </c>
    </row>
    <row r="369" spans="1:2">
      <c r="A369" s="220" t="s">
        <v>353</v>
      </c>
      <c r="B369" s="164">
        <f>IFERROR((PA_Parts+PA_SVC+PA_Rental)*(1+Burden_Pct),"B")</f>
        <v>0</v>
      </c>
    </row>
    <row r="370" spans="1:2">
      <c r="A370" s="220" t="s">
        <v>354</v>
      </c>
      <c r="B370" s="165" t="str">
        <f>IFERROR((NS_Counter+NS_SVC+NS_RENT)/NS*(OC),"B")</f>
        <v>B</v>
      </c>
    </row>
    <row r="371" spans="1:2">
      <c r="A371" s="220" t="s">
        <v>355</v>
      </c>
      <c r="B371" s="165" t="str">
        <f>IFERROR((NS_Counter+NS_SVC+NS_RENT)/NS*(TOE),"B")</f>
        <v>B</v>
      </c>
    </row>
    <row r="372" spans="1:2">
      <c r="A372" s="221" t="s">
        <v>356</v>
      </c>
    </row>
    <row r="373" spans="1:2">
      <c r="A373" s="209" t="s">
        <v>191</v>
      </c>
      <c r="B373" s="166" t="str">
        <f>IFERROR(NS_New/NS*100,"B")</f>
        <v>B</v>
      </c>
    </row>
    <row r="374" spans="1:2">
      <c r="A374" s="209" t="s">
        <v>192</v>
      </c>
      <c r="B374" s="166" t="str">
        <f>IFERROR(NS_Used/NS*100,"B")</f>
        <v>B</v>
      </c>
    </row>
    <row r="375" spans="1:2">
      <c r="A375" s="232" t="s">
        <v>193</v>
      </c>
      <c r="B375" s="166" t="str">
        <f>IFERROR(NS_SH/NS*100,"B")</f>
        <v>B</v>
      </c>
    </row>
    <row r="376" spans="1:2">
      <c r="A376" s="232" t="s">
        <v>194</v>
      </c>
      <c r="B376" s="166" t="str">
        <f>IFERROR(NS_ES/NS*100,"B")</f>
        <v>B</v>
      </c>
    </row>
    <row r="377" spans="1:2">
      <c r="A377" s="232" t="s">
        <v>265</v>
      </c>
      <c r="B377" s="167" t="str">
        <f>IFERROR(NS_Install/NS*100,"B")</f>
        <v>B</v>
      </c>
    </row>
    <row r="378" spans="1:2">
      <c r="A378" s="209" t="s">
        <v>195</v>
      </c>
      <c r="B378" s="166" t="str">
        <f>IFERROR(NS_Counter/NS*100,"B")</f>
        <v>B</v>
      </c>
    </row>
    <row r="379" spans="1:2">
      <c r="A379" s="234" t="s">
        <v>523</v>
      </c>
      <c r="B379" s="258" t="str">
        <f>IFERROR(B375+B376,"B")</f>
        <v>B</v>
      </c>
    </row>
    <row r="380" spans="1:2">
      <c r="A380" s="243" t="s">
        <v>357</v>
      </c>
      <c r="B380" s="2" t="s">
        <v>244</v>
      </c>
    </row>
    <row r="381" spans="1:2">
      <c r="A381" s="243" t="s">
        <v>358</v>
      </c>
      <c r="B381" s="2" t="s">
        <v>244</v>
      </c>
    </row>
    <row r="382" spans="1:2">
      <c r="A382" s="232" t="s">
        <v>196</v>
      </c>
      <c r="B382" s="166" t="str">
        <f>IFERROR(NS_SVC/NS*100,"B")</f>
        <v>B</v>
      </c>
    </row>
    <row r="383" spans="1:2">
      <c r="A383" s="209" t="s">
        <v>197</v>
      </c>
      <c r="B383" s="166" t="str">
        <f>IFERROR(NS_RENT/NS*100,"B")</f>
        <v>B</v>
      </c>
    </row>
    <row r="384" spans="1:2">
      <c r="A384" s="232" t="s">
        <v>198</v>
      </c>
      <c r="B384" s="202" t="str">
        <f>IFERROR(B380+B381,"B")</f>
        <v>B</v>
      </c>
    </row>
    <row r="386" spans="1:2">
      <c r="A386" s="208" t="s">
        <v>359</v>
      </c>
    </row>
    <row r="387" spans="1:2">
      <c r="A387" s="237" t="s">
        <v>199</v>
      </c>
      <c r="B387" s="204" t="str">
        <f>IFERROR(GP_New/NS_New,"B")</f>
        <v>B</v>
      </c>
    </row>
    <row r="388" spans="1:2">
      <c r="A388" s="237" t="s">
        <v>200</v>
      </c>
      <c r="B388" s="204" t="str">
        <f>IFERROR(GP_Used/NS_Used,"B")</f>
        <v>B</v>
      </c>
    </row>
    <row r="389" spans="1:2">
      <c r="A389" s="237" t="s">
        <v>201</v>
      </c>
      <c r="B389" s="204" t="str">
        <f>IFERROR(GP_SH/NS_SH,"B")</f>
        <v>B</v>
      </c>
    </row>
    <row r="390" spans="1:2">
      <c r="A390" s="237" t="s">
        <v>202</v>
      </c>
      <c r="B390" s="254" t="str">
        <f>IFERROR(GP_ES/NS_ES,"B")</f>
        <v>B</v>
      </c>
    </row>
    <row r="391" spans="1:2">
      <c r="A391" s="246" t="s">
        <v>267</v>
      </c>
      <c r="B391" s="168" t="str">
        <f>IFERROR(GP_Install/NS_Install,"B")</f>
        <v>B</v>
      </c>
    </row>
    <row r="392" spans="1:2">
      <c r="A392" s="237" t="s">
        <v>203</v>
      </c>
      <c r="B392" s="254" t="str">
        <f>IFERROR(GP_Counter/NS_Counter,"B")</f>
        <v>B</v>
      </c>
    </row>
    <row r="393" spans="1:2">
      <c r="A393" s="247" t="s">
        <v>524</v>
      </c>
      <c r="B393" s="203" t="str">
        <f>IFERROR(((NS_SH+NS_ES)-(COGS_SH+COGS_ES))/(NS_SH+NS_ES),"B")</f>
        <v>B</v>
      </c>
    </row>
    <row r="394" spans="1:2">
      <c r="A394" s="248" t="s">
        <v>360</v>
      </c>
      <c r="B394" s="2" t="s">
        <v>244</v>
      </c>
    </row>
    <row r="395" spans="1:2">
      <c r="A395" s="248" t="s">
        <v>361</v>
      </c>
      <c r="B395" s="2" t="s">
        <v>244</v>
      </c>
    </row>
    <row r="396" spans="1:2">
      <c r="A396" s="246" t="s">
        <v>204</v>
      </c>
      <c r="B396" s="253" t="str">
        <f>IFERROR(GP_SVC/NS_SVC,"B")</f>
        <v>B</v>
      </c>
    </row>
    <row r="397" spans="1:2">
      <c r="A397" s="237" t="s">
        <v>205</v>
      </c>
      <c r="B397" s="254" t="str">
        <f>IFERROR(GP_Rent/NS_RENT,"B")</f>
        <v>B</v>
      </c>
    </row>
    <row r="398" spans="1:2">
      <c r="A398" s="246" t="s">
        <v>206</v>
      </c>
      <c r="B398" s="253" t="str">
        <f>IFERROR(GP_OTH/NS_OTH,"B")</f>
        <v>B</v>
      </c>
    </row>
    <row r="399" spans="1:2">
      <c r="A399" s="232" t="s">
        <v>379</v>
      </c>
      <c r="B399" s="253" t="str">
        <f>IFERROR(GP_2/NS,"B")</f>
        <v>B</v>
      </c>
    </row>
    <row r="401" spans="1:2">
      <c r="A401" s="237" t="s">
        <v>362</v>
      </c>
    </row>
    <row r="403" spans="1:2">
      <c r="A403" s="209" t="s">
        <v>363</v>
      </c>
      <c r="B403" s="14" t="str">
        <f>IFERROR(IF(SUM(NS_New+NS_Used+NS_SH+NS_ES+NS_Counter)&gt;0,SUM(NS_New+NS_Used+NS_SH+NS_ES+NS_Counter),"B"),"B")</f>
        <v>B</v>
      </c>
    </row>
    <row r="404" spans="1:2">
      <c r="A404" s="209" t="s">
        <v>364</v>
      </c>
      <c r="B404" s="14" t="str">
        <f>IFERROR(IF(SUM(COGS_New+COGS_Used+COGS_SH+COGS_ES+COGS_Counter)&gt;0,SUM(COGS_New+COGS_Used+COGS_SH+COGS_ES+COGS_Counter),"B"),"B")</f>
        <v>B</v>
      </c>
    </row>
    <row r="405" spans="1:2">
      <c r="A405" s="209" t="s">
        <v>365</v>
      </c>
      <c r="B405" s="14" t="str">
        <f>IFERROR(IF(B403-B404&gt;0,B403-B404,"B"),"B")</f>
        <v>B</v>
      </c>
    </row>
    <row r="406" spans="1:2">
      <c r="A406" s="209" t="s">
        <v>335</v>
      </c>
      <c r="B406" s="169" t="str">
        <f>IFERROR(WHSGP/AVG_2,"B")</f>
        <v>B</v>
      </c>
    </row>
    <row r="408" spans="1:2">
      <c r="A408" s="237" t="s">
        <v>366</v>
      </c>
      <c r="B408" s="169" t="str">
        <f>IFERROR(WHSGP/WHSNS,"B")</f>
        <v>B</v>
      </c>
    </row>
    <row r="409" spans="1:2">
      <c r="A409" s="237" t="s">
        <v>367</v>
      </c>
      <c r="B409" s="169" t="str">
        <f>IFERROR(B408*B234,"B")</f>
        <v>B</v>
      </c>
    </row>
    <row r="411" spans="1:2">
      <c r="A411" s="208" t="s">
        <v>368</v>
      </c>
    </row>
    <row r="412" spans="1:2">
      <c r="A412" s="209" t="s">
        <v>369</v>
      </c>
      <c r="B412" s="170" t="str">
        <f>IF(SUM(NS_Counter+NS_SVC+NS_RENT)&gt;0,SUM(NS_Counter+NS_SVC+NS_RENT),"B")</f>
        <v>B</v>
      </c>
    </row>
    <row r="413" spans="1:2">
      <c r="A413" s="209" t="s">
        <v>370</v>
      </c>
      <c r="B413" s="170" t="str">
        <f>IF(SUM(COGS_Counter+COGS_SVC+COGS_Rent)&gt;0,SUM(COGS_Counter+COGS_SVC+COGS_Rent),"B")</f>
        <v>B</v>
      </c>
    </row>
    <row r="414" spans="1:2">
      <c r="A414" s="209" t="s">
        <v>371</v>
      </c>
      <c r="B414" s="14">
        <f>IFERROR(SUM(NS_Counter+NS_SVC+NS_RENT)-SUM(COGS_Counter+COGS_SVC+COGS_Rent),"B")</f>
        <v>0</v>
      </c>
    </row>
    <row r="415" spans="1:2">
      <c r="A415" s="209" t="s">
        <v>372</v>
      </c>
      <c r="B415" s="164">
        <f>IFERROR((PA_Parts+PA_SVC+PA_Rental)*(1+Burden_Pct),"B")</f>
        <v>0</v>
      </c>
    </row>
    <row r="416" spans="1:2">
      <c r="A416" s="213" t="s">
        <v>373</v>
      </c>
      <c r="B416" s="165" t="str">
        <f>IFERROR((NS_Counter+NS_SVC+NS_RENT)/NS*(OC),"B")</f>
        <v>B</v>
      </c>
    </row>
    <row r="417" spans="1:2">
      <c r="A417" s="209" t="s">
        <v>374</v>
      </c>
      <c r="B417" s="165" t="str">
        <f>IFERROR((NS_Counter+NS_SVC+NS_RENT)/NS*(TOE),"B")</f>
        <v>B</v>
      </c>
    </row>
    <row r="418" spans="1:2">
      <c r="A418" s="209" t="s">
        <v>375</v>
      </c>
      <c r="B418" s="171" t="str">
        <f>IFERROR(B415+B416+B417,"B")</f>
        <v>B</v>
      </c>
    </row>
    <row r="419" spans="1:2">
      <c r="A419" s="209" t="s">
        <v>376</v>
      </c>
      <c r="B419" s="172" t="str">
        <f>IFERROR(IF(AND(B414&lt;&gt;"B",B418&lt;&gt;"B"),B414-B418,"B"),"B")</f>
        <v>B</v>
      </c>
    </row>
    <row r="420" spans="1:2">
      <c r="A420" s="208" t="s">
        <v>377</v>
      </c>
    </row>
    <row r="421" spans="1:2">
      <c r="A421" s="209" t="s">
        <v>369</v>
      </c>
      <c r="B421" s="173">
        <v>1</v>
      </c>
    </row>
    <row r="422" spans="1:2">
      <c r="A422" s="222" t="s">
        <v>370</v>
      </c>
      <c r="B422" s="174" t="str">
        <f>IFERROR(SUM(COGS_Counter+COGS_SVC+COGS_Rent)/SUM(NS_Counter+NS_SVC+NS_RENT)*100,"B")</f>
        <v>B</v>
      </c>
    </row>
    <row r="423" spans="1:2">
      <c r="A423" s="209" t="s">
        <v>371</v>
      </c>
      <c r="B423" s="166" t="str">
        <f>IFERROR(((SUM(NS_Counter+NS_SVC+NS_RENT)-SUM(COGS_Counter+COGS_SVC+COGS_Rent))/SUM(NS_Counter+NS_SVC+NS_RENT)*100),"B")</f>
        <v>B</v>
      </c>
    </row>
    <row r="424" spans="1:2">
      <c r="A424" s="222" t="s">
        <v>372</v>
      </c>
      <c r="B424" s="175" t="str">
        <f>IFERROR(((PA_Parts+PA_SVC+PA_Rental)*(1+Burden_Pct)/SUM(NS_Counter+NS_SVC+NS_RENT)*100),"B")</f>
        <v>B</v>
      </c>
    </row>
    <row r="425" spans="1:2">
      <c r="A425" s="222" t="s">
        <v>373</v>
      </c>
      <c r="B425" s="176" t="str">
        <f>IFERROR((NS_Counter+NS_SVC+NS_RENT)/NS*(OC)/SUM(NS_Counter+NS_SVC+NS_RENT)*100,"B")</f>
        <v>B</v>
      </c>
    </row>
    <row r="426" spans="1:2">
      <c r="A426" s="222" t="s">
        <v>374</v>
      </c>
      <c r="B426" s="177" t="str">
        <f>IFERROR((NS_Counter+NS_SVC+NS_RENT)/NS*(TOE)/SUM(NS_Counter+NS_SVC+NS_RENT)*100,"B")</f>
        <v>B</v>
      </c>
    </row>
    <row r="427" spans="1:2">
      <c r="A427" s="209" t="s">
        <v>375</v>
      </c>
      <c r="B427" s="178" t="str">
        <f>IFERROR(B424+B425+B426,"B")</f>
        <v>B</v>
      </c>
    </row>
    <row r="428" spans="1:2">
      <c r="A428" s="222" t="s">
        <v>378</v>
      </c>
      <c r="B428" s="9" t="s">
        <v>295</v>
      </c>
    </row>
    <row r="429" spans="1:2">
      <c r="A429" s="209" t="s">
        <v>379</v>
      </c>
      <c r="B429" s="179" t="str">
        <f>IFERROR(GP_2/NS,"B")</f>
        <v>B</v>
      </c>
    </row>
    <row r="430" spans="1:2">
      <c r="A430" s="223" t="s">
        <v>380</v>
      </c>
      <c r="B430" s="169" t="str">
        <f>IFERROR(B414/GP_2,"B")</f>
        <v>B</v>
      </c>
    </row>
    <row r="431" spans="1:2">
      <c r="A431" s="218" t="s">
        <v>381</v>
      </c>
    </row>
    <row r="432" spans="1:2">
      <c r="A432" s="209" t="s">
        <v>382</v>
      </c>
      <c r="B432" s="169" t="str">
        <f>IFERROR(B414/TE,"B")</f>
        <v>B</v>
      </c>
    </row>
    <row r="433" spans="1:2">
      <c r="A433" s="209" t="s">
        <v>383</v>
      </c>
      <c r="B433" s="169" t="str">
        <f>IFERROR(B414/(TE-PA_Out),"B")</f>
        <v>B</v>
      </c>
    </row>
    <row r="434" spans="1:2">
      <c r="A434" s="209" t="s">
        <v>384</v>
      </c>
      <c r="B434" s="9" t="s">
        <v>295</v>
      </c>
    </row>
    <row r="435" spans="1:2">
      <c r="A435" s="209" t="s">
        <v>385</v>
      </c>
      <c r="B435" s="180" t="str">
        <f>IFERROR(NS/(CUST),"B")</f>
        <v>B</v>
      </c>
    </row>
    <row r="436" spans="1:2">
      <c r="A436" s="218" t="s">
        <v>386</v>
      </c>
    </row>
    <row r="437" spans="1:2">
      <c r="A437" s="223" t="s">
        <v>387</v>
      </c>
      <c r="B437" s="14" t="str">
        <f>IFERROR(IF(SUM(NS_New+NS_Used+NS_SH+NS_ES)&gt;0,SUM(NS_New+NS_Used+NS_SH+NS_ES),"B"),"B")</f>
        <v>B</v>
      </c>
    </row>
    <row r="438" spans="1:2">
      <c r="A438" s="223" t="s">
        <v>388</v>
      </c>
      <c r="B438" s="14" t="str">
        <f>IFERROR(IF(SUM(COGS_New+COGS_Used+COGS_SH+COGS_ES)&gt;0,SUM(COGS_New+COGS_Used+COGS_SH+COGS_ES),"B"),"B")</f>
        <v>B</v>
      </c>
    </row>
    <row r="439" spans="1:2">
      <c r="A439" s="223" t="s">
        <v>389</v>
      </c>
      <c r="B439" s="14">
        <f>IFERROR(SUM(NS_New+NS_Used+NS_SH+NS_ES)-SUM(COGS_New+COGS_Used+COGS_SH+COGS_ES),"B")</f>
        <v>0</v>
      </c>
    </row>
    <row r="440" spans="1:2">
      <c r="A440" s="223" t="s">
        <v>390</v>
      </c>
      <c r="B440" s="105" t="str">
        <f>IF((PA_Out&gt;0),(PA_Out+PA_Inside)*(1+Burden_Pct),"b")</f>
        <v>b</v>
      </c>
    </row>
    <row r="441" spans="1:2">
      <c r="A441" s="223" t="s">
        <v>391</v>
      </c>
      <c r="B441" s="14" t="s">
        <v>244</v>
      </c>
    </row>
    <row r="442" spans="1:2">
      <c r="A442" s="223" t="s">
        <v>392</v>
      </c>
      <c r="B442" s="14" t="s">
        <v>244</v>
      </c>
    </row>
    <row r="443" spans="1:2">
      <c r="A443" s="223" t="s">
        <v>393</v>
      </c>
      <c r="B443" s="181" t="str">
        <f>IFERROR(B440+B441+B442,"B")</f>
        <v>B</v>
      </c>
    </row>
    <row r="444" spans="1:2">
      <c r="A444" s="223" t="s">
        <v>394</v>
      </c>
      <c r="B444" s="182" t="str">
        <f>IFERROR(IF(AND(B439&lt;&gt;"B",B443&lt;&gt;"B"),B439-B443,"B"),"B")</f>
        <v>B</v>
      </c>
    </row>
    <row r="445" spans="1:2">
      <c r="A445" s="218" t="s">
        <v>395</v>
      </c>
    </row>
    <row r="446" spans="1:2">
      <c r="A446" s="223" t="s">
        <v>387</v>
      </c>
      <c r="B446" s="173">
        <v>1</v>
      </c>
    </row>
    <row r="447" spans="1:2">
      <c r="A447" s="223" t="s">
        <v>388</v>
      </c>
      <c r="B447" s="174" t="str">
        <f>IFERROR(SUM(COGS_New+COGS_Used+COGS_SH+COGS_ES)/SUM(NS_New+NS_Used+NS_SH+NS_ES)*100,"B")</f>
        <v>B</v>
      </c>
    </row>
    <row r="448" spans="1:2">
      <c r="A448" s="223" t="s">
        <v>389</v>
      </c>
      <c r="B448" s="166" t="str">
        <f>IFERROR(((SUM(NS_New+NS_Used+NS_SH+NS_ES)-SUM(COGS_New+COGS_Used+COGS_SH+COGS_ES))/SUM(NS_New+NS_Used+NS_SH+NS_ES)*100),"B")</f>
        <v>B</v>
      </c>
    </row>
    <row r="449" spans="1:2">
      <c r="A449" s="223" t="s">
        <v>390</v>
      </c>
      <c r="B449" s="175" t="str">
        <f>IFERROR(((PA_Out+PA_Inside)*(1+Burden_Pct)/SUM(NS_New+NS_Used+NS_SH+NS_ES)*100),"B")</f>
        <v>B</v>
      </c>
    </row>
    <row r="450" spans="1:2">
      <c r="A450" s="223" t="s">
        <v>391</v>
      </c>
      <c r="B450" s="176" t="str">
        <f>IFERROR((NS_New+NS_Used+NS_SH+NS_ES)/NS*(OC)/SUM(NS_New+NS_Used+NS_SH+NS_ES)*100,"B")</f>
        <v>B</v>
      </c>
    </row>
    <row r="451" spans="1:2">
      <c r="A451" s="223" t="s">
        <v>392</v>
      </c>
      <c r="B451" s="177" t="str">
        <f>IFERROR((NS_New+NS_Used+NS_SH+NS_ES)/NS*(TOE)/SUM(NS_New+NS_Used+NS_SH+NS_ES)*100,"B")</f>
        <v>B</v>
      </c>
    </row>
    <row r="452" spans="1:2">
      <c r="A452" s="223" t="s">
        <v>393</v>
      </c>
      <c r="B452" s="178" t="str">
        <f>IFERROR(B449+B450+B451,"B")</f>
        <v>B</v>
      </c>
    </row>
    <row r="453" spans="1:2">
      <c r="A453" s="223" t="s">
        <v>394</v>
      </c>
      <c r="B453" s="183" t="str">
        <f>IFERROR((B448-B452)/100,"B")</f>
        <v>B</v>
      </c>
    </row>
    <row r="454" spans="1:2">
      <c r="A454" s="218" t="s">
        <v>396</v>
      </c>
    </row>
    <row r="455" spans="1:2">
      <c r="A455" s="223" t="s">
        <v>150</v>
      </c>
      <c r="B455" s="175" t="str">
        <f>IFERROR(((PA_Out+PA_Inside)*(1+Burden_Pct)/(SUM(NS_New+NS_Used+NS_SH+NS_ES)-SUM(COGS_New+COGS_Used+COGS_SH+COGS_ES))*100),"B")</f>
        <v>B</v>
      </c>
    </row>
    <row r="456" spans="1:2">
      <c r="A456" s="223" t="s">
        <v>151</v>
      </c>
      <c r="B456" s="176" t="str">
        <f>IFERROR((NS_New+NS_Used+NS_SH+NS_ES)/NS*(OC)/(SUM(NS_New+NS_Used+NS_SH+NS_ES)-SUM(COGS_New+COGS_Used+COGS_SH+COGS_ES))*100,"B")</f>
        <v>B</v>
      </c>
    </row>
    <row r="457" spans="1:2">
      <c r="A457" s="223" t="s">
        <v>397</v>
      </c>
      <c r="B457" s="177" t="str">
        <f>IFERROR((NS_New+NS_Used+NS_SH+NS_ES)/NS*(TOE)/(SUM(NS_New+NS_Used+NS_SH+NS_ES)-SUM(COGS_New+COGS_Used+COGS_SH+COGS_ES))*100,"B")</f>
        <v>B</v>
      </c>
    </row>
    <row r="458" spans="1:2">
      <c r="A458" s="223" t="s">
        <v>398</v>
      </c>
      <c r="B458" s="178" t="str">
        <f>IFERROR(B455+B456+B457,"B")</f>
        <v>B</v>
      </c>
    </row>
    <row r="459" spans="1:2">
      <c r="A459" s="223" t="s">
        <v>399</v>
      </c>
      <c r="B459" s="183" t="str">
        <f>IFERROR((100-B458)/100,"B")</f>
        <v>B</v>
      </c>
    </row>
    <row r="460" spans="1:2">
      <c r="A460" s="218" t="s">
        <v>400</v>
      </c>
    </row>
    <row r="461" spans="1:2">
      <c r="A461" s="223" t="s">
        <v>401</v>
      </c>
      <c r="B461" s="118" t="str">
        <f>IF(ISBLANK(EMP_Inside),"b",EMP_Inside)</f>
        <v>b</v>
      </c>
    </row>
    <row r="462" spans="1:2">
      <c r="A462" s="223" t="s">
        <v>402</v>
      </c>
      <c r="B462" s="184" t="str">
        <f>IF(ISBLANK(EMP_Out),"b",EMP_Out)</f>
        <v>b</v>
      </c>
    </row>
    <row r="463" spans="1:2">
      <c r="A463" s="223" t="s">
        <v>403</v>
      </c>
      <c r="B463" s="178">
        <f>IFERROR(EMP_Inside+EMP_Out,"B")</f>
        <v>0</v>
      </c>
    </row>
    <row r="464" spans="1:2">
      <c r="A464" s="224" t="s">
        <v>404</v>
      </c>
      <c r="B464" s="185" t="str">
        <f>IFERROR(SUM(NS_New+NS_Used+NS_SH+NS_ES)/(EMP_Inside+EMP_Out),"B")</f>
        <v>B</v>
      </c>
    </row>
    <row r="465" spans="1:2">
      <c r="A465" s="224" t="s">
        <v>405</v>
      </c>
      <c r="B465" s="185" t="str">
        <f>IFERROR((SUM(NS_New+NS_Used+NS_SH+NS_ES)-SUM(COGS_New+COGS_Used+COGS_SH+COGS_ES))/(EMP_Inside+EMP_Out),"B")</f>
        <v>B</v>
      </c>
    </row>
    <row r="466" spans="1:2">
      <c r="A466" s="226" t="s">
        <v>406</v>
      </c>
    </row>
    <row r="467" spans="1:2">
      <c r="A467" s="223" t="s">
        <v>407</v>
      </c>
      <c r="B467" s="173" t="str">
        <f>IFERROR(NS_New/SUM(NS_New+NS_Used+NS_SH+NS_ES),"B")</f>
        <v>B</v>
      </c>
    </row>
    <row r="468" spans="1:2">
      <c r="A468" s="223" t="s">
        <v>408</v>
      </c>
      <c r="B468" s="166" t="str">
        <f>IFERROR(NS_Used/SUM(NS_New+NS_Used+NS_SH+NS_ES)*100,"B")</f>
        <v>B</v>
      </c>
    </row>
    <row r="469" spans="1:2">
      <c r="A469" s="223" t="s">
        <v>409</v>
      </c>
      <c r="B469" s="166" t="str">
        <f>IFERROR(NS_SH/SUM(NS_New+NS_Used+NS_SH+NS_ES)*100,"B")</f>
        <v>B</v>
      </c>
    </row>
    <row r="470" spans="1:2">
      <c r="A470" s="223" t="s">
        <v>410</v>
      </c>
      <c r="B470" s="166" t="str">
        <f>IFERROR(NS_ES/SUM(NS_New+NS_Used+NS_SH+NS_ES)*100,"B")</f>
        <v>B</v>
      </c>
    </row>
    <row r="471" spans="1:2">
      <c r="A471" s="227" t="s">
        <v>411</v>
      </c>
      <c r="B471" s="173">
        <v>1</v>
      </c>
    </row>
    <row r="472" spans="1:2">
      <c r="A472" s="218" t="s">
        <v>412</v>
      </c>
    </row>
    <row r="473" spans="1:2">
      <c r="A473" s="223" t="s">
        <v>407</v>
      </c>
      <c r="B473" s="186" t="str">
        <f>IF(AND(NS_New&gt;0,COGS_New&gt;0),(NS_New-COGS_New)/(NS_New),"b")</f>
        <v>b</v>
      </c>
    </row>
    <row r="474" spans="1:2">
      <c r="A474" s="223" t="s">
        <v>408</v>
      </c>
      <c r="B474" s="186" t="str">
        <f>IF(AND(NS_Used&gt;0,COGS_Used),(NS_Used-COGS_Used)/NS_Used,"b")</f>
        <v>b</v>
      </c>
    </row>
    <row r="475" spans="1:2">
      <c r="A475" s="223" t="s">
        <v>409</v>
      </c>
      <c r="B475" s="186" t="str">
        <f>IF(AND(NS_SH&gt;0,COGS_SH),(NS_SH-COGS_SH)/NS_SH,"b")</f>
        <v>b</v>
      </c>
    </row>
    <row r="476" spans="1:2">
      <c r="A476" s="223" t="s">
        <v>410</v>
      </c>
      <c r="B476" s="186" t="str">
        <f>IF(AND(NS_ES&gt;0,COGS_ES&gt;0),(NS_ES-COGS_ES)/NS_ES,"b")</f>
        <v>b</v>
      </c>
    </row>
    <row r="477" spans="1:2">
      <c r="A477" s="218" t="s">
        <v>413</v>
      </c>
    </row>
    <row r="478" spans="1:2">
      <c r="A478" s="223" t="s">
        <v>414</v>
      </c>
      <c r="B478" s="118" t="str">
        <f>IF(ISBLANK(AgeNew),"b",AgeNew)</f>
        <v>AgeNew</v>
      </c>
    </row>
    <row r="479" spans="1:2">
      <c r="A479" s="223" t="s">
        <v>415</v>
      </c>
      <c r="B479" s="118" t="str">
        <f>IF(ISBLANK(AgeUsed),"b",AgeUsed)</f>
        <v>AgeUsed</v>
      </c>
    </row>
    <row r="480" spans="1:2">
      <c r="A480" s="223" t="s">
        <v>416</v>
      </c>
      <c r="B480" s="187" t="s">
        <v>294</v>
      </c>
    </row>
    <row r="481" spans="1:2">
      <c r="A481" s="218" t="s">
        <v>417</v>
      </c>
    </row>
    <row r="482" spans="1:2">
      <c r="A482" s="223" t="s">
        <v>418</v>
      </c>
      <c r="B482" s="163" t="str">
        <f>IFERROR(COGS_New/NEWINV,"B")</f>
        <v>B</v>
      </c>
    </row>
    <row r="483" spans="1:2">
      <c r="A483" s="223" t="s">
        <v>419</v>
      </c>
      <c r="B483" s="163" t="str">
        <f>IFERROR(COGS_Used/USEDINV,"B")</f>
        <v>B</v>
      </c>
    </row>
    <row r="484" spans="1:2">
      <c r="A484" s="225" t="s">
        <v>420</v>
      </c>
      <c r="B484" s="2" t="s">
        <v>295</v>
      </c>
    </row>
    <row r="485" spans="1:2">
      <c r="A485" s="218" t="s">
        <v>421</v>
      </c>
    </row>
    <row r="486" spans="1:2">
      <c r="A486" s="223" t="s">
        <v>422</v>
      </c>
      <c r="B486" s="9" t="str">
        <f>IF((NS_OTH&lt;&gt;NS),NS_Counter,"b")</f>
        <v>b</v>
      </c>
    </row>
    <row r="487" spans="1:2">
      <c r="A487" s="226" t="s">
        <v>423</v>
      </c>
    </row>
    <row r="488" spans="1:2">
      <c r="A488" s="223" t="s">
        <v>424</v>
      </c>
      <c r="B488" s="173">
        <v>1</v>
      </c>
    </row>
    <row r="489" spans="1:2">
      <c r="A489" s="227" t="s">
        <v>425</v>
      </c>
      <c r="B489" s="174" t="str">
        <f>IFERROR(SUM(COGS_Counter)/SUM(NS_Counter)*100,"B")</f>
        <v>B</v>
      </c>
    </row>
    <row r="490" spans="1:2">
      <c r="A490" s="223" t="s">
        <v>426</v>
      </c>
      <c r="B490" s="166" t="str">
        <f>IFERROR(((SUM(NS_Counter)-SUM(COGS_Counter))/SUM(NS_Counter)*100),"B")</f>
        <v>B</v>
      </c>
    </row>
    <row r="491" spans="1:2">
      <c r="A491" s="227" t="s">
        <v>427</v>
      </c>
      <c r="B491" s="175" t="str">
        <f>IFERROR(((PA_Parts)*(1+Burden_Pct)/(NS_Counter)*100),"B")</f>
        <v>B</v>
      </c>
    </row>
    <row r="492" spans="1:2">
      <c r="A492" s="227" t="s">
        <v>428</v>
      </c>
      <c r="B492" s="176" t="str">
        <f>IFERROR((NS_Counter)/NS*(OC)/(NS_Counter)*100,"B")</f>
        <v>B</v>
      </c>
    </row>
    <row r="493" spans="1:2">
      <c r="A493" s="227" t="s">
        <v>429</v>
      </c>
      <c r="B493" s="177" t="str">
        <f>IFERROR((NS_Counter)/NS*(TOE)/(NS_Counter)*100,"B")</f>
        <v>B</v>
      </c>
    </row>
    <row r="494" spans="1:2">
      <c r="A494" s="223" t="s">
        <v>430</v>
      </c>
      <c r="B494" s="178" t="str">
        <f>IFERROR(B491+B492+B493,"B")</f>
        <v>B</v>
      </c>
    </row>
    <row r="495" spans="1:2">
      <c r="A495" s="227" t="s">
        <v>431</v>
      </c>
      <c r="B495" s="183" t="str">
        <f>IFERROR((B490-B494)/100,"B")</f>
        <v>B</v>
      </c>
    </row>
    <row r="496" spans="1:2">
      <c r="A496" s="218" t="s">
        <v>432</v>
      </c>
    </row>
    <row r="497" spans="1:2">
      <c r="A497" s="208" t="s">
        <v>433</v>
      </c>
      <c r="B497" s="14">
        <f>IFERROR((SUM(NS_Counter)-SUM(COGS_Counter)),"B")</f>
        <v>0</v>
      </c>
    </row>
    <row r="498" spans="1:2">
      <c r="A498" s="227" t="s">
        <v>427</v>
      </c>
      <c r="B498" s="175" t="str">
        <f>IFERROR(((PA_Parts)*(1+Burden_Pct)/(SUM(NS_Counter)-SUM(COGS_Counter))*100),"B")</f>
        <v>B</v>
      </c>
    </row>
    <row r="499" spans="1:2">
      <c r="A499" s="227" t="s">
        <v>428</v>
      </c>
      <c r="B499" s="176" t="str">
        <f>IFERROR((NS_Counter)/NS*(OC)/(SUM(NS_Counter)-SUM(COGS_Counter))*100,"B")</f>
        <v>B</v>
      </c>
    </row>
    <row r="500" spans="1:2">
      <c r="A500" s="227" t="s">
        <v>429</v>
      </c>
      <c r="B500" s="177" t="str">
        <f>IFERROR((NS_Counter)/NS*(TOE)/(SUM(NS_Counter)-SUM(COGS_Counter))*100,"B")</f>
        <v>B</v>
      </c>
    </row>
    <row r="501" spans="1:2">
      <c r="A501" s="223" t="s">
        <v>430</v>
      </c>
      <c r="B501" s="178" t="str">
        <f>IFERROR(B498+B499+B500,"B")</f>
        <v>B</v>
      </c>
    </row>
    <row r="502" spans="1:2">
      <c r="A502" s="227" t="s">
        <v>431</v>
      </c>
      <c r="B502" s="183" t="str">
        <f>IFERROR((100-B501)/100,"B")</f>
        <v>B</v>
      </c>
    </row>
    <row r="503" spans="1:2">
      <c r="A503" s="218" t="s">
        <v>434</v>
      </c>
    </row>
    <row r="504" spans="1:2">
      <c r="A504" s="228" t="s">
        <v>435</v>
      </c>
      <c r="B504" s="187" t="s">
        <v>295</v>
      </c>
    </row>
    <row r="505" spans="1:2">
      <c r="A505" s="228" t="s">
        <v>436</v>
      </c>
      <c r="B505" s="187" t="s">
        <v>295</v>
      </c>
    </row>
    <row r="506" spans="1:2">
      <c r="A506" s="228" t="s">
        <v>437</v>
      </c>
      <c r="B506" s="187" t="s">
        <v>295</v>
      </c>
    </row>
    <row r="507" spans="1:2">
      <c r="A507" s="228" t="s">
        <v>438</v>
      </c>
      <c r="B507" s="187" t="s">
        <v>295</v>
      </c>
    </row>
    <row r="508" spans="1:2">
      <c r="A508" s="228" t="s">
        <v>439</v>
      </c>
      <c r="B508" s="187" t="s">
        <v>295</v>
      </c>
    </row>
    <row r="509" spans="1:2">
      <c r="A509" s="223" t="s">
        <v>253</v>
      </c>
      <c r="B509" s="187" t="s">
        <v>295</v>
      </c>
    </row>
    <row r="510" spans="1:2">
      <c r="A510" s="229" t="s">
        <v>440</v>
      </c>
      <c r="B510" s="187" t="s">
        <v>295</v>
      </c>
    </row>
    <row r="511" spans="1:2">
      <c r="A511" s="223" t="s">
        <v>441</v>
      </c>
      <c r="B511" s="185" t="str">
        <f>IFERROR((NS_Counter)/(EMP_Parts),"B")</f>
        <v>B</v>
      </c>
    </row>
    <row r="512" spans="1:2">
      <c r="A512" s="223" t="s">
        <v>442</v>
      </c>
      <c r="B512" s="185" t="str">
        <f>IFERROR(((NS_Counter)-SUM(COGS_Counter))/(EMP_Parts),"B")</f>
        <v>B</v>
      </c>
    </row>
    <row r="513" spans="1:2">
      <c r="A513" s="226" t="s">
        <v>443</v>
      </c>
    </row>
    <row r="514" spans="1:2">
      <c r="A514" s="223" t="s">
        <v>444</v>
      </c>
      <c r="B514" s="187" t="s">
        <v>295</v>
      </c>
    </row>
    <row r="515" spans="1:2">
      <c r="A515" s="223" t="s">
        <v>445</v>
      </c>
      <c r="B515" s="187" t="s">
        <v>295</v>
      </c>
    </row>
    <row r="516" spans="1:2">
      <c r="A516" s="223" t="s">
        <v>446</v>
      </c>
      <c r="B516" s="187" t="s">
        <v>295</v>
      </c>
    </row>
    <row r="517" spans="1:2">
      <c r="A517" s="223" t="s">
        <v>447</v>
      </c>
      <c r="B517" s="187" t="s">
        <v>295</v>
      </c>
    </row>
    <row r="518" spans="1:2">
      <c r="A518" s="227" t="s">
        <v>411</v>
      </c>
      <c r="B518" s="187" t="s">
        <v>295</v>
      </c>
    </row>
    <row r="519" spans="1:2">
      <c r="A519" s="226" t="s">
        <v>426</v>
      </c>
    </row>
    <row r="520" spans="1:2">
      <c r="A520" s="223" t="s">
        <v>444</v>
      </c>
      <c r="B520" s="187" t="s">
        <v>295</v>
      </c>
    </row>
    <row r="521" spans="1:2">
      <c r="A521" s="223" t="s">
        <v>445</v>
      </c>
      <c r="B521" s="187" t="s">
        <v>295</v>
      </c>
    </row>
    <row r="522" spans="1:2">
      <c r="A522" s="223" t="s">
        <v>446</v>
      </c>
      <c r="B522" s="187" t="s">
        <v>295</v>
      </c>
    </row>
    <row r="523" spans="1:2">
      <c r="A523" s="223" t="s">
        <v>448</v>
      </c>
      <c r="B523" s="187" t="s">
        <v>295</v>
      </c>
    </row>
    <row r="524" spans="1:2">
      <c r="A524" s="226" t="s">
        <v>449</v>
      </c>
    </row>
    <row r="525" spans="1:2">
      <c r="A525" s="223" t="s">
        <v>127</v>
      </c>
      <c r="B525" s="188" t="e">
        <f>IF(ISBLANK(AgeParts),"b",AgeParts/100)</f>
        <v>#VALUE!</v>
      </c>
    </row>
    <row r="526" spans="1:2">
      <c r="A526" s="223" t="s">
        <v>450</v>
      </c>
      <c r="B526" s="163" t="str">
        <f>IFERROR(COGS_Counter/PARTSINV,"B")</f>
        <v>B</v>
      </c>
    </row>
    <row r="527" spans="1:2">
      <c r="A527" s="223" t="s">
        <v>451</v>
      </c>
      <c r="B527" s="146" t="str">
        <f>IFERROR((NS_Counter-COGS_Counter)/PARTSINV,"B")</f>
        <v>B</v>
      </c>
    </row>
    <row r="528" spans="1:2">
      <c r="A528" s="226" t="s">
        <v>452</v>
      </c>
    </row>
    <row r="529" spans="1:2">
      <c r="A529" s="223" t="s">
        <v>453</v>
      </c>
      <c r="B529" s="187" t="s">
        <v>295</v>
      </c>
    </row>
    <row r="530" spans="1:2">
      <c r="A530" s="223" t="s">
        <v>454</v>
      </c>
      <c r="B530" s="187" t="s">
        <v>295</v>
      </c>
    </row>
    <row r="531" spans="1:2">
      <c r="A531" s="223" t="s">
        <v>455</v>
      </c>
      <c r="B531" s="187" t="s">
        <v>295</v>
      </c>
    </row>
    <row r="532" spans="1:2">
      <c r="A532" s="227" t="s">
        <v>456</v>
      </c>
      <c r="B532" s="187" t="s">
        <v>295</v>
      </c>
    </row>
    <row r="533" spans="1:2">
      <c r="A533" s="218" t="s">
        <v>457</v>
      </c>
    </row>
    <row r="534" spans="1:2">
      <c r="A534" s="223" t="s">
        <v>458</v>
      </c>
      <c r="B534" s="9" t="str">
        <f>IF((NS_OTH&lt;&gt;NS),NS_SVC,"b")</f>
        <v>b</v>
      </c>
    </row>
    <row r="535" spans="1:2">
      <c r="A535" s="226" t="s">
        <v>459</v>
      </c>
    </row>
    <row r="536" spans="1:2">
      <c r="A536" s="223" t="s">
        <v>460</v>
      </c>
      <c r="B536" s="173">
        <v>1</v>
      </c>
    </row>
    <row r="537" spans="1:2">
      <c r="A537" s="227" t="s">
        <v>461</v>
      </c>
      <c r="B537" s="174" t="str">
        <f>IFERROR(SUM(COGS_SVC)/SUM(NS_SVC)*100,"B")</f>
        <v>B</v>
      </c>
    </row>
    <row r="538" spans="1:2">
      <c r="A538" s="223" t="s">
        <v>462</v>
      </c>
      <c r="B538" s="166" t="str">
        <f>IFERROR(((SUM(NS_SVC)-SUM(COGS_SVC))/SUM(NS_SVC)*100),"B")</f>
        <v>B</v>
      </c>
    </row>
    <row r="539" spans="1:2">
      <c r="A539" s="227" t="s">
        <v>463</v>
      </c>
      <c r="B539" s="175" t="str">
        <f>IFERROR(((PA_SVC)*(1+Burden_Pct)/(NS_SVC)*100),"B")</f>
        <v>B</v>
      </c>
    </row>
    <row r="540" spans="1:2">
      <c r="A540" s="227" t="s">
        <v>464</v>
      </c>
      <c r="B540" s="176" t="str">
        <f>IFERROR((NS_SVC)/NS*(OC)/(NS_SVC)*100,"B")</f>
        <v>B</v>
      </c>
    </row>
    <row r="541" spans="1:2">
      <c r="A541" s="227" t="s">
        <v>465</v>
      </c>
      <c r="B541" s="177" t="str">
        <f>IFERROR((NS_SVC)/NS*(TOE)/(NS_SVC)*100,"B")</f>
        <v>B</v>
      </c>
    </row>
    <row r="542" spans="1:2">
      <c r="A542" s="223" t="s">
        <v>466</v>
      </c>
      <c r="B542" s="178" t="str">
        <f>IFERROR(B539+B540+B541,"B")</f>
        <v>B</v>
      </c>
    </row>
    <row r="543" spans="1:2">
      <c r="A543" s="227" t="s">
        <v>467</v>
      </c>
      <c r="B543" s="183" t="str">
        <f>IFERROR((B538-B542)/100,"B")</f>
        <v>B</v>
      </c>
    </row>
    <row r="544" spans="1:2">
      <c r="A544" s="226" t="s">
        <v>468</v>
      </c>
    </row>
    <row r="545" spans="1:2">
      <c r="A545" s="208" t="s">
        <v>469</v>
      </c>
      <c r="B545" s="14">
        <f>IFERROR((SUM(NS_SVC)-SUM(COGS_SVC)),"B")</f>
        <v>0</v>
      </c>
    </row>
    <row r="546" spans="1:2">
      <c r="A546" s="227" t="s">
        <v>463</v>
      </c>
      <c r="B546" s="175" t="str">
        <f>IFERROR(((PA_SVC)*(1+Burden_Pct)/(SUM(NS_SVC)-SUM(COGS_SVC))*100),"B")</f>
        <v>B</v>
      </c>
    </row>
    <row r="547" spans="1:2">
      <c r="A547" s="227" t="s">
        <v>464</v>
      </c>
      <c r="B547" s="176" t="str">
        <f>IFERROR((NS_SVC)/NS*(OC)/(SUM(NS_SVC)-SUM(COGS_SVC))*100,"B")</f>
        <v>B</v>
      </c>
    </row>
    <row r="548" spans="1:2">
      <c r="A548" s="227" t="s">
        <v>465</v>
      </c>
      <c r="B548" s="177" t="str">
        <f>IFERROR((NS_SVC)/NS*(TOE)/(SUM(NS_SVC)-SUM(COGS_SVC))*100,"B")</f>
        <v>B</v>
      </c>
    </row>
    <row r="549" spans="1:2">
      <c r="A549" s="223" t="s">
        <v>466</v>
      </c>
      <c r="B549" s="178" t="str">
        <f>IFERROR(B546+B547+B548,"B")</f>
        <v>B</v>
      </c>
    </row>
    <row r="550" spans="1:2">
      <c r="A550" s="227" t="s">
        <v>467</v>
      </c>
      <c r="B550" s="183" t="str">
        <f>IFERROR((100-B549)/100,"B")</f>
        <v>B</v>
      </c>
    </row>
    <row r="551" spans="1:2">
      <c r="A551" s="226" t="s">
        <v>470</v>
      </c>
    </row>
    <row r="552" spans="1:2">
      <c r="A552" s="228" t="s">
        <v>471</v>
      </c>
      <c r="B552" s="118" t="str">
        <f>IF(ISBLANK(EMP_SVC),"b",EMP_SVC)</f>
        <v>b</v>
      </c>
    </row>
    <row r="553" spans="1:2">
      <c r="A553" s="228" t="s">
        <v>437</v>
      </c>
      <c r="B553" s="187" t="s">
        <v>295</v>
      </c>
    </row>
    <row r="554" spans="1:2">
      <c r="A554" s="228" t="s">
        <v>438</v>
      </c>
      <c r="B554" s="187" t="s">
        <v>295</v>
      </c>
    </row>
    <row r="555" spans="1:2">
      <c r="A555" s="228" t="s">
        <v>472</v>
      </c>
      <c r="B555" s="187" t="s">
        <v>295</v>
      </c>
    </row>
    <row r="556" spans="1:2">
      <c r="A556" s="228" t="s">
        <v>126</v>
      </c>
      <c r="B556" s="187" t="s">
        <v>295</v>
      </c>
    </row>
    <row r="557" spans="1:2">
      <c r="A557" s="229" t="s">
        <v>473</v>
      </c>
      <c r="B557" s="178">
        <f>IFERROR(EMP_SVC+EMP_Tech,"B")</f>
        <v>0</v>
      </c>
    </row>
    <row r="558" spans="1:2">
      <c r="A558" s="223" t="s">
        <v>474</v>
      </c>
      <c r="B558" s="185" t="str">
        <f>IFERROR((NS_SVC)/(EMP_Tech),"B")</f>
        <v>B</v>
      </c>
    </row>
    <row r="559" spans="1:2">
      <c r="A559" s="223" t="s">
        <v>475</v>
      </c>
      <c r="B559" s="185" t="str">
        <f>IFERROR(((NS_SVC)-SUM(COGS_SVC))/(EMP_Tech),"B")</f>
        <v>B</v>
      </c>
    </row>
    <row r="560" spans="1:2" ht="15.3" thickBot="1">
      <c r="A560" s="223" t="s">
        <v>476</v>
      </c>
      <c r="B560" s="183" t="str">
        <f>IFERROR((EMP_Tech)/(Emp),"B")</f>
        <v>B</v>
      </c>
    </row>
    <row r="561" spans="1:2" ht="15.3" thickBot="1">
      <c r="A561" s="230" t="s">
        <v>477</v>
      </c>
      <c r="B561" s="189" t="s">
        <v>296</v>
      </c>
    </row>
    <row r="562" spans="1:2">
      <c r="A562" s="226" t="s">
        <v>478</v>
      </c>
    </row>
    <row r="563" spans="1:2">
      <c r="A563" s="223" t="s">
        <v>479</v>
      </c>
      <c r="B563" s="190" t="str">
        <f>IF(ISBLANK(SvcCalls),"b",SvcCalls)</f>
        <v>b</v>
      </c>
    </row>
    <row r="564" spans="1:2">
      <c r="A564" s="230" t="s">
        <v>480</v>
      </c>
      <c r="B564" s="191" t="str">
        <f>IFERROR((SvcCalls)/(EMP_Tech),"B")</f>
        <v>B</v>
      </c>
    </row>
    <row r="565" spans="1:2">
      <c r="A565" s="223" t="s">
        <v>481</v>
      </c>
      <c r="B565" s="192" t="str">
        <f>IF(ISBLANK(SvcVeh_),"b",SvcVeh_)</f>
        <v>b</v>
      </c>
    </row>
    <row r="566" spans="1:2">
      <c r="A566" s="223" t="s">
        <v>482</v>
      </c>
      <c r="B566" s="192" t="str">
        <f>IF(ISBLANK(SvcRecover),"b",SvcRecover)</f>
        <v>b</v>
      </c>
    </row>
    <row r="567" spans="1:2">
      <c r="A567" s="223" t="s">
        <v>483</v>
      </c>
      <c r="B567" s="193" t="str">
        <f>IFERROR((SvcRecover)/(SvcVeh_),"B")</f>
        <v>B</v>
      </c>
    </row>
    <row r="568" spans="1:2">
      <c r="A568" s="223" t="s">
        <v>484</v>
      </c>
      <c r="B568" s="194" t="str">
        <f>IF(ISBLANK(TechApplied),"b",TechApplied)</f>
        <v>b</v>
      </c>
    </row>
    <row r="569" spans="1:2">
      <c r="A569" s="223" t="s">
        <v>485</v>
      </c>
      <c r="B569" s="194" t="str">
        <f>IF(ISBLANK(TechBilled),"b",TechBilled)</f>
        <v>b</v>
      </c>
    </row>
    <row r="570" spans="1:2">
      <c r="A570" s="223" t="s">
        <v>486</v>
      </c>
      <c r="B570" s="199" t="s">
        <v>295</v>
      </c>
    </row>
    <row r="571" spans="1:2">
      <c r="A571" s="223" t="s">
        <v>487</v>
      </c>
      <c r="B571" s="193" t="str">
        <f>IFERROR((TechBilled)/(TechPaid),"B")</f>
        <v>B</v>
      </c>
    </row>
    <row r="572" spans="1:2">
      <c r="A572" s="223" t="s">
        <v>488</v>
      </c>
      <c r="B572" s="195" t="str">
        <f>IFERROR((NS_SVC)/(TechBilled),"B")</f>
        <v>B</v>
      </c>
    </row>
    <row r="573" spans="1:2">
      <c r="A573" s="223" t="s">
        <v>489</v>
      </c>
      <c r="B573" s="195" t="str">
        <f>IFERROR((NS_SVC)/(TechApplied),"B")</f>
        <v>B</v>
      </c>
    </row>
    <row r="574" spans="1:2">
      <c r="A574" s="223" t="s">
        <v>490</v>
      </c>
      <c r="B574" s="194" t="str">
        <f>IF(ISBLANK(SvcJobs),"b",SvcJobs)</f>
        <v>b</v>
      </c>
    </row>
    <row r="575" spans="1:2">
      <c r="A575" s="226" t="s">
        <v>491</v>
      </c>
    </row>
    <row r="576" spans="1:2">
      <c r="A576" s="223" t="s">
        <v>453</v>
      </c>
      <c r="B576" s="199" t="s">
        <v>295</v>
      </c>
    </row>
    <row r="577" spans="1:2">
      <c r="A577" s="223" t="s">
        <v>454</v>
      </c>
      <c r="B577" s="199" t="s">
        <v>295</v>
      </c>
    </row>
    <row r="578" spans="1:2">
      <c r="A578" s="223" t="s">
        <v>455</v>
      </c>
      <c r="B578" s="199" t="s">
        <v>295</v>
      </c>
    </row>
    <row r="579" spans="1:2">
      <c r="A579" s="227" t="s">
        <v>456</v>
      </c>
      <c r="B579" s="199" t="s">
        <v>295</v>
      </c>
    </row>
    <row r="580" spans="1:2">
      <c r="A580" s="218" t="s">
        <v>492</v>
      </c>
    </row>
    <row r="581" spans="1:2">
      <c r="A581" s="223" t="s">
        <v>493</v>
      </c>
      <c r="B581" s="105" t="str">
        <f>IF((NS_OTH&lt;&gt;NS),NS_RENT,"b")</f>
        <v>b</v>
      </c>
    </row>
    <row r="582" spans="1:2">
      <c r="A582" s="226" t="s">
        <v>494</v>
      </c>
    </row>
    <row r="583" spans="1:2">
      <c r="A583" s="223" t="s">
        <v>495</v>
      </c>
      <c r="B583" s="173">
        <v>1</v>
      </c>
    </row>
    <row r="584" spans="1:2">
      <c r="A584" s="227" t="s">
        <v>496</v>
      </c>
      <c r="B584" s="174" t="str">
        <f>IFERROR(SUM(COGS_Rent)/SUM(NS_RENT)*100,"B")</f>
        <v>B</v>
      </c>
    </row>
    <row r="585" spans="1:2">
      <c r="A585" s="223" t="s">
        <v>497</v>
      </c>
      <c r="B585" s="166" t="str">
        <f>IFERROR(((SUM(NS_RENT)-SUM(COGS_Rent))/SUM(NS_RENT)*100),"B")</f>
        <v>B</v>
      </c>
    </row>
    <row r="586" spans="1:2">
      <c r="A586" s="227" t="s">
        <v>498</v>
      </c>
      <c r="B586" s="175" t="str">
        <f>IFERROR(((PA_Rental)*(1+Burden_Pct)/(NS_RENT)*100),"B")</f>
        <v>B</v>
      </c>
    </row>
    <row r="587" spans="1:2">
      <c r="A587" s="227" t="s">
        <v>499</v>
      </c>
      <c r="B587" s="176" t="str">
        <f>IFERROR((NS_RENT)/NS*(OC)/(NS_RENT)*100,"B")</f>
        <v>B</v>
      </c>
    </row>
    <row r="588" spans="1:2">
      <c r="A588" s="227" t="s">
        <v>500</v>
      </c>
      <c r="B588" s="177" t="str">
        <f>IFERROR((NS_RENT)/NS*(TOE)/(NS_RENT)*100,"B")</f>
        <v>B</v>
      </c>
    </row>
    <row r="589" spans="1:2">
      <c r="A589" s="223" t="s">
        <v>501</v>
      </c>
      <c r="B589" s="178" t="str">
        <f>IFERROR(B586+B587+B588,"B")</f>
        <v>B</v>
      </c>
    </row>
    <row r="590" spans="1:2">
      <c r="A590" s="227" t="s">
        <v>502</v>
      </c>
      <c r="B590" s="183" t="str">
        <f>IFERROR((B585-B589)/100,"B")</f>
        <v>B</v>
      </c>
    </row>
    <row r="591" spans="1:2">
      <c r="A591" s="226" t="s">
        <v>503</v>
      </c>
    </row>
    <row r="592" spans="1:2">
      <c r="A592" s="208" t="s">
        <v>504</v>
      </c>
      <c r="B592" s="14">
        <f>IFERROR((SUM(NS_RENT)-SUM(COGS_Rent)),"B")</f>
        <v>0</v>
      </c>
    </row>
    <row r="593" spans="1:2">
      <c r="A593" s="227" t="s">
        <v>498</v>
      </c>
      <c r="B593" s="175" t="str">
        <f>IFERROR(((PA_Rental)*(1+Burden_Pct)/(SUM(NS_RENT)-SUM(COGS_Rent))*100),"B")</f>
        <v>B</v>
      </c>
    </row>
    <row r="594" spans="1:2">
      <c r="A594" s="227" t="s">
        <v>499</v>
      </c>
      <c r="B594" s="176" t="str">
        <f>IFERROR((NS_RENT)/NS*(OC)/(SUM(NS_RENT)-SUM(COGS_Rent))*100,"B")</f>
        <v>B</v>
      </c>
    </row>
    <row r="595" spans="1:2">
      <c r="A595" s="227" t="s">
        <v>500</v>
      </c>
      <c r="B595" s="177" t="str">
        <f>IFERROR((NS_RENT)/NS*(TOE)/(SUM(NS_RENT)-SUM(COGS_Rent))*100,"B")</f>
        <v>B</v>
      </c>
    </row>
    <row r="596" spans="1:2">
      <c r="A596" s="223" t="s">
        <v>501</v>
      </c>
      <c r="B596" s="178" t="str">
        <f>IFERROR(B593+B594+B595,"B")</f>
        <v>B</v>
      </c>
    </row>
    <row r="597" spans="1:2">
      <c r="A597" s="227" t="s">
        <v>505</v>
      </c>
      <c r="B597" s="183" t="str">
        <f>IFERROR((100-B596)/100,"B")</f>
        <v>B</v>
      </c>
    </row>
    <row r="598" spans="1:2">
      <c r="A598" s="226" t="s">
        <v>506</v>
      </c>
    </row>
    <row r="599" spans="1:2">
      <c r="A599" s="228" t="s">
        <v>507</v>
      </c>
      <c r="B599" s="187" t="s">
        <v>295</v>
      </c>
    </row>
    <row r="600" spans="1:2">
      <c r="A600" s="228" t="s">
        <v>437</v>
      </c>
      <c r="B600" s="187" t="s">
        <v>295</v>
      </c>
    </row>
    <row r="601" spans="1:2">
      <c r="A601" s="228" t="s">
        <v>438</v>
      </c>
      <c r="B601" s="187" t="s">
        <v>295</v>
      </c>
    </row>
    <row r="602" spans="1:2">
      <c r="A602" s="228" t="s">
        <v>508</v>
      </c>
      <c r="B602" s="187" t="s">
        <v>295</v>
      </c>
    </row>
    <row r="603" spans="1:2">
      <c r="A603" s="228" t="s">
        <v>509</v>
      </c>
      <c r="B603" s="187" t="s">
        <v>295</v>
      </c>
    </row>
    <row r="604" spans="1:2">
      <c r="A604" s="229" t="s">
        <v>510</v>
      </c>
      <c r="B604" s="118" t="str">
        <f>IF(ISBLANK(EMP_Rental),"b",EMP_Rental)</f>
        <v>b</v>
      </c>
    </row>
    <row r="605" spans="1:2">
      <c r="A605" s="218" t="s">
        <v>511</v>
      </c>
    </row>
    <row r="606" spans="1:2" ht="15.3" thickBot="1">
      <c r="A606" s="230" t="s">
        <v>512</v>
      </c>
      <c r="B606" s="183" t="str">
        <f>IFERROR((EMP_Rental)/(Emp),"B")</f>
        <v>B</v>
      </c>
    </row>
    <row r="607" spans="1:2" ht="15.3" thickBot="1">
      <c r="A607" s="230" t="s">
        <v>513</v>
      </c>
      <c r="B607" s="189" t="s">
        <v>244</v>
      </c>
    </row>
    <row r="608" spans="1:2">
      <c r="A608" s="218" t="s">
        <v>514</v>
      </c>
      <c r="B608" s="2" t="s">
        <v>244</v>
      </c>
    </row>
    <row r="609" spans="1:2">
      <c r="A609" s="223" t="s">
        <v>515</v>
      </c>
      <c r="B609" s="196" t="s">
        <v>244</v>
      </c>
    </row>
    <row r="610" spans="1:2">
      <c r="A610" s="223" t="s">
        <v>516</v>
      </c>
      <c r="B610" s="192" t="str">
        <f>IF(ISBLANK(STvalue),"b",STvalue)</f>
        <v>b</v>
      </c>
    </row>
    <row r="611" spans="1:2">
      <c r="A611" s="223" t="s">
        <v>517</v>
      </c>
      <c r="B611" s="195" t="str">
        <f>IFERROR((NS_RENT)/(STunits),"B")</f>
        <v>B</v>
      </c>
    </row>
    <row r="612" spans="1:2">
      <c r="A612" s="223" t="s">
        <v>518</v>
      </c>
      <c r="B612" s="193" t="str">
        <f>IFERROR((NS_RENT)/(STvalue),"B")</f>
        <v>B</v>
      </c>
    </row>
    <row r="613" spans="1:2">
      <c r="A613" s="223" t="s">
        <v>519</v>
      </c>
      <c r="B613" s="193" t="str">
        <f>IFERROR((NS_RENT)/(Fixed),"B")</f>
        <v>B</v>
      </c>
    </row>
    <row r="614" spans="1:2">
      <c r="A614" s="223" t="s">
        <v>520</v>
      </c>
      <c r="B614" s="197" t="str">
        <f>IF(ISBLANK(STutil),"b",STutil/100)</f>
        <v>b</v>
      </c>
    </row>
    <row r="615" spans="1:2">
      <c r="A615" s="2"/>
    </row>
    <row r="616" spans="1:2">
      <c r="A616" s="218" t="s">
        <v>525</v>
      </c>
    </row>
    <row r="617" spans="1:2">
      <c r="A617" s="249" t="s">
        <v>526</v>
      </c>
      <c r="B617" s="158" t="str">
        <f>IFERROR(NS/(EMP_Out+EMP_Inside),"B")</f>
        <v>B</v>
      </c>
    </row>
    <row r="618" spans="1:2">
      <c r="A618" s="249" t="s">
        <v>527</v>
      </c>
      <c r="B618" s="142" t="str">
        <f>IFERROR(GP_2/(EMP_Out+EMP_Inside),"B")</f>
        <v>B</v>
      </c>
    </row>
    <row r="619" spans="1:2">
      <c r="A619" s="231" t="s">
        <v>528</v>
      </c>
      <c r="B619" s="158" t="str">
        <f>IFERROR(NS/(EMP_Out),"B")</f>
        <v>B</v>
      </c>
    </row>
    <row r="620" spans="1:2">
      <c r="A620" s="231" t="s">
        <v>529</v>
      </c>
      <c r="B620" s="142" t="str">
        <f>IFERROR(GP_2/(EMP_Out),"B")</f>
        <v>B</v>
      </c>
    </row>
    <row r="621" spans="1:2">
      <c r="A621" s="249" t="s">
        <v>530</v>
      </c>
      <c r="B621" s="252" t="str">
        <f>IFERROR(EMP_Out/EMP_Inside,"B")</f>
        <v>B</v>
      </c>
    </row>
    <row r="622" spans="1:2">
      <c r="A622" s="259" t="s">
        <v>531</v>
      </c>
      <c r="B622" s="158" t="str">
        <f>IFERROR(NS/(EMP_PM),"B")</f>
        <v>B</v>
      </c>
    </row>
    <row r="623" spans="1:2">
      <c r="A623" s="259" t="s">
        <v>532</v>
      </c>
      <c r="B623" s="252" t="str">
        <f>IFERROR(EMP_PM/EMP_Out,"B")</f>
        <v>B</v>
      </c>
    </row>
    <row r="624" spans="1:2">
      <c r="A624" s="259" t="s">
        <v>533</v>
      </c>
      <c r="B624" s="205" t="str">
        <f>IF(OR(NS_Install&gt;0,NS_SVC&gt;0),IFERROR((NS_SVC+NS_Install)/(EMP_Tech),"B"),"b")</f>
        <v>b</v>
      </c>
    </row>
    <row r="625" spans="1:2">
      <c r="A625" s="259" t="s">
        <v>534</v>
      </c>
      <c r="B625" s="206" t="str">
        <f>IF(OR(NS_Install&gt;0,NS_SVC&gt;0),IFERROR(((NS_SVC+NS_Install)-(COGS_SVC+COGS_Install))/(EMP_Tech),"B"),"b")</f>
        <v>b</v>
      </c>
    </row>
  </sheetData>
  <phoneticPr fontId="0" type="noConversion"/>
  <pageMargins left="0.5" right="0.5" top="0.25" bottom="0.2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185</vt:i4>
      </vt:variant>
    </vt:vector>
  </HeadingPairs>
  <TitlesOfParts>
    <vt:vector size="188" baseType="lpstr">
      <vt:lpstr>Engr Sys</vt:lpstr>
      <vt:lpstr>Confidentiality</vt:lpstr>
      <vt:lpstr>Data</vt:lpstr>
      <vt:lpstr>AAP</vt:lpstr>
      <vt:lpstr>AAR</vt:lpstr>
      <vt:lpstr>AD</vt:lpstr>
      <vt:lpstr>Add</vt:lpstr>
      <vt:lpstr>Addr1</vt:lpstr>
      <vt:lpstr>Addr2</vt:lpstr>
      <vt:lpstr>AgeNew</vt:lpstr>
      <vt:lpstr>AgeParts</vt:lpstr>
      <vt:lpstr>AgeSH</vt:lpstr>
      <vt:lpstr>AgeUsed</vt:lpstr>
      <vt:lpstr>AP</vt:lpstr>
      <vt:lpstr>AR</vt:lpstr>
      <vt:lpstr>AVG</vt:lpstr>
      <vt:lpstr>AVG_2</vt:lpstr>
      <vt:lpstr>BENE</vt:lpstr>
      <vt:lpstr>BENE_Pct</vt:lpstr>
      <vt:lpstr>Burden_Pct</vt:lpstr>
      <vt:lpstr>CA</vt:lpstr>
      <vt:lpstr>CA_2</vt:lpstr>
      <vt:lpstr>Cash</vt:lpstr>
      <vt:lpstr>City</vt:lpstr>
      <vt:lpstr>CL</vt:lpstr>
      <vt:lpstr>COGS</vt:lpstr>
      <vt:lpstr>COGS_2</vt:lpstr>
      <vt:lpstr>COGS_Counter</vt:lpstr>
      <vt:lpstr>COGS_ES</vt:lpstr>
      <vt:lpstr>COGS_Install</vt:lpstr>
      <vt:lpstr>COGS_New</vt:lpstr>
      <vt:lpstr>COGS_OTH</vt:lpstr>
      <vt:lpstr>COGS_Rent</vt:lpstr>
      <vt:lpstr>COGS_SH</vt:lpstr>
      <vt:lpstr>COGS_SVC</vt:lpstr>
      <vt:lpstr>COGS_Used</vt:lpstr>
      <vt:lpstr>CSH</vt:lpstr>
      <vt:lpstr>CUST</vt:lpstr>
      <vt:lpstr>DownPmt</vt:lpstr>
      <vt:lpstr>DPR</vt:lpstr>
      <vt:lpstr>DROP</vt:lpstr>
      <vt:lpstr>eaddr</vt:lpstr>
      <vt:lpstr>Emp</vt:lpstr>
      <vt:lpstr>EMP_Exec</vt:lpstr>
      <vt:lpstr>EMP_Inside</vt:lpstr>
      <vt:lpstr>EMP_Out</vt:lpstr>
      <vt:lpstr>EMP_Parts</vt:lpstr>
      <vt:lpstr>EMP_PM</vt:lpstr>
      <vt:lpstr>EMP_Rental</vt:lpstr>
      <vt:lpstr>EMP_SVC</vt:lpstr>
      <vt:lpstr>EMP_Tech</vt:lpstr>
      <vt:lpstr>EMP_WHS</vt:lpstr>
      <vt:lpstr>End</vt:lpstr>
      <vt:lpstr>EngSys</vt:lpstr>
      <vt:lpstr>Eqty</vt:lpstr>
      <vt:lpstr>Equip</vt:lpstr>
      <vt:lpstr>FinalPmt</vt:lpstr>
      <vt:lpstr>Fixed</vt:lpstr>
      <vt:lpstr>GP</vt:lpstr>
      <vt:lpstr>GP_2</vt:lpstr>
      <vt:lpstr>GP_Counter</vt:lpstr>
      <vt:lpstr>GP_ES</vt:lpstr>
      <vt:lpstr>GP_Install</vt:lpstr>
      <vt:lpstr>GP_New</vt:lpstr>
      <vt:lpstr>GP_OTH</vt:lpstr>
      <vt:lpstr>GP_Rent</vt:lpstr>
      <vt:lpstr>GP_Repair</vt:lpstr>
      <vt:lpstr>GP_SH</vt:lpstr>
      <vt:lpstr>GP_SVC</vt:lpstr>
      <vt:lpstr>GP_Used</vt:lpstr>
      <vt:lpstr>GP_Warranty</vt:lpstr>
      <vt:lpstr>GRP_INS</vt:lpstr>
      <vt:lpstr>Grp_Pct</vt:lpstr>
      <vt:lpstr>ID</vt:lpstr>
      <vt:lpstr>Ins</vt:lpstr>
      <vt:lpstr>Int</vt:lpstr>
      <vt:lpstr>IntParts</vt:lpstr>
      <vt:lpstr>IntSvc</vt:lpstr>
      <vt:lpstr>Inv</vt:lpstr>
      <vt:lpstr>INV_2</vt:lpstr>
      <vt:lpstr>Liab</vt:lpstr>
      <vt:lpstr>LIFO</vt:lpstr>
      <vt:lpstr>Loan</vt:lpstr>
      <vt:lpstr>LTL</vt:lpstr>
      <vt:lpstr>LTrucks</vt:lpstr>
      <vt:lpstr>MIS</vt:lpstr>
      <vt:lpstr>Name</vt:lpstr>
      <vt:lpstr>Net</vt:lpstr>
      <vt:lpstr>NEWINV</vt:lpstr>
      <vt:lpstr>NP</vt:lpstr>
      <vt:lpstr>NS</vt:lpstr>
      <vt:lpstr>NS_Counter</vt:lpstr>
      <vt:lpstr>NS_ES</vt:lpstr>
      <vt:lpstr>NS_Install</vt:lpstr>
      <vt:lpstr>NS_New</vt:lpstr>
      <vt:lpstr>NS_OTH</vt:lpstr>
      <vt:lpstr>NS_RENT</vt:lpstr>
      <vt:lpstr>NS_SH</vt:lpstr>
      <vt:lpstr>NS_SVC</vt:lpstr>
      <vt:lpstr>NS_Used</vt:lpstr>
      <vt:lpstr>NW</vt:lpstr>
      <vt:lpstr>NW_2</vt:lpstr>
      <vt:lpstr>OC</vt:lpstr>
      <vt:lpstr>OC_GA</vt:lpstr>
      <vt:lpstr>OC_Parts</vt:lpstr>
      <vt:lpstr>OC_Rental</vt:lpstr>
      <vt:lpstr>OC_Sales</vt:lpstr>
      <vt:lpstr>OC_SVC</vt:lpstr>
      <vt:lpstr>Oca</vt:lpstr>
      <vt:lpstr>Ocl</vt:lpstr>
      <vt:lpstr>OCOGS</vt:lpstr>
      <vt:lpstr>OE</vt:lpstr>
      <vt:lpstr>OE_GA</vt:lpstr>
      <vt:lpstr>OE_Parts</vt:lpstr>
      <vt:lpstr>OE_Rental</vt:lpstr>
      <vt:lpstr>OE_Sales</vt:lpstr>
      <vt:lpstr>OE_SVC</vt:lpstr>
      <vt:lpstr>Oemp</vt:lpstr>
      <vt:lpstr>Oex</vt:lpstr>
      <vt:lpstr>OFA</vt:lpstr>
      <vt:lpstr>OI</vt:lpstr>
      <vt:lpstr>OINV</vt:lpstr>
      <vt:lpstr>OP</vt:lpstr>
      <vt:lpstr>OP_2</vt:lpstr>
      <vt:lpstr>OPROD</vt:lpstr>
      <vt:lpstr>Org</vt:lpstr>
      <vt:lpstr>OSAL</vt:lpstr>
      <vt:lpstr>PA</vt:lpstr>
      <vt:lpstr>PA_Adjust</vt:lpstr>
      <vt:lpstr>PA_Exec</vt:lpstr>
      <vt:lpstr>PA_GA</vt:lpstr>
      <vt:lpstr>PA_Inside</vt:lpstr>
      <vt:lpstr>PA_OTH</vt:lpstr>
      <vt:lpstr>PA_Out</vt:lpstr>
      <vt:lpstr>PA_Parts</vt:lpstr>
      <vt:lpstr>PA_PM</vt:lpstr>
      <vt:lpstr>PA_Rental</vt:lpstr>
      <vt:lpstr>PA_Sales</vt:lpstr>
      <vt:lpstr>PA_SVC</vt:lpstr>
      <vt:lpstr>PA_Tech</vt:lpstr>
      <vt:lpstr>PA_WHS</vt:lpstr>
      <vt:lpstr>PARTSINV</vt:lpstr>
      <vt:lpstr>PBT</vt:lpstr>
      <vt:lpstr>PBT_2</vt:lpstr>
      <vt:lpstr>PDF</vt:lpstr>
      <vt:lpstr>Person</vt:lpstr>
      <vt:lpstr>Phone</vt:lpstr>
      <vt:lpstr>Prev</vt:lpstr>
      <vt:lpstr>Confidentiality!Print_Area</vt:lpstr>
      <vt:lpstr>Data!Print_Area</vt:lpstr>
      <vt:lpstr>'Engr Sys'!Print_Area</vt:lpstr>
      <vt:lpstr>PT</vt:lpstr>
      <vt:lpstr>PT_Pct</vt:lpstr>
      <vt:lpstr>Rent</vt:lpstr>
      <vt:lpstr>RentalCost</vt:lpstr>
      <vt:lpstr>RM</vt:lpstr>
      <vt:lpstr>SAL</vt:lpstr>
      <vt:lpstr>SAL_TOT</vt:lpstr>
      <vt:lpstr>SH</vt:lpstr>
      <vt:lpstr>State</vt:lpstr>
      <vt:lpstr>STOCK</vt:lpstr>
      <vt:lpstr>STunits</vt:lpstr>
      <vt:lpstr>STutil</vt:lpstr>
      <vt:lpstr>STvalue</vt:lpstr>
      <vt:lpstr>SvcCalls</vt:lpstr>
      <vt:lpstr>SvcJobs</vt:lpstr>
      <vt:lpstr>SvcRecover</vt:lpstr>
      <vt:lpstr>SvcVeh_</vt:lpstr>
      <vt:lpstr>TA</vt:lpstr>
      <vt:lpstr>TA_2</vt:lpstr>
      <vt:lpstr>Tax</vt:lpstr>
      <vt:lpstr>TE</vt:lpstr>
      <vt:lpstr>TechApplied</vt:lpstr>
      <vt:lpstr>TechBilled</vt:lpstr>
      <vt:lpstr>TechPaid</vt:lpstr>
      <vt:lpstr>TechWages</vt:lpstr>
      <vt:lpstr>Tele</vt:lpstr>
      <vt:lpstr>Title</vt:lpstr>
      <vt:lpstr>TOE</vt:lpstr>
      <vt:lpstr>TRN</vt:lpstr>
      <vt:lpstr>USEDINV</vt:lpstr>
      <vt:lpstr>UT</vt:lpstr>
      <vt:lpstr>VEH</vt:lpstr>
      <vt:lpstr>WHSCOGS</vt:lpstr>
      <vt:lpstr>WHSGP</vt:lpstr>
      <vt:lpstr>WHSNS</vt:lpstr>
      <vt:lpstr>Yr</vt:lpstr>
      <vt:lpstr>Zipcode</vt:lpstr>
    </vt:vector>
  </TitlesOfParts>
  <Company>Bates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John Mackay</cp:lastModifiedBy>
  <cp:lastPrinted>2019-01-14T02:38:58Z</cp:lastPrinted>
  <dcterms:created xsi:type="dcterms:W3CDTF">2000-09-29T21:49:52Z</dcterms:created>
  <dcterms:modified xsi:type="dcterms:W3CDTF">2025-02-07T15:37:07Z</dcterms:modified>
</cp:coreProperties>
</file>